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namedSheetViews/namedSheetView1.xml" ContentType="application/vnd.ms-excel.namedsheetview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!" sheetId="1" state="visible" r:id="rId1"/>
    <sheet name="РЕЙТИНГ 2024" sheetId="2" state="visible" r:id="rId2"/>
  </sheets>
  <definedNames>
    <definedName name="_xlnm.Print_Area" localSheetId="0">#REF!</definedName>
  </definedNames>
  <calcPr/>
</workbook>
</file>

<file path=xl/sharedStrings.xml><?xml version="1.0" encoding="utf-8"?>
<sst xmlns="http://schemas.openxmlformats.org/spreadsheetml/2006/main" count="128" uniqueCount="128">
  <si>
    <t xml:space="preserve">Муниципальный район/ муниципальный, городской округ </t>
  </si>
  <si>
    <t xml:space="preserve">Показатели по организационным мероприятиям в части содействия развитию конкуренции</t>
  </si>
  <si>
    <t xml:space="preserve">Показатели по содействию развитию конкуренции </t>
  </si>
  <si>
    <t xml:space="preserve">Показатели по организационным мероприятиям в части обеспечения условий для благоприятного инвестиционного климата </t>
  </si>
  <si>
    <t xml:space="preserve">Показатели по обеспечению благоприятного инвестиционного климата</t>
  </si>
  <si>
    <t xml:space="preserve">Наличие соглашения о внедрении в Новосибирской области стандарта развития конкуренции в субъектах Российской Федерации </t>
  </si>
  <si>
    <t xml:space="preserve">Наличие коллегиального органа, созданного в муниципальном образовании Новосибирской области для решения вопросов по содействию развитию конкуренции</t>
  </si>
  <si>
    <t xml:space="preserve">Наличие на официальном сайте в информационно-телекоммуникационной сети «Интернет»  муниципального образования раздела, посвященного содействию развитию конкуренции</t>
  </si>
  <si>
    <t xml:space="preserve">Наличие плана мероприятий («дорожной карты») по содействию развитию конкуренции в муниципальном образовании </t>
  </si>
  <si>
    <t xml:space="preserve">Наличие в положении о структурном подразделении   администрации муниципального района (муниципального, городского округа), занимающегося вопросами социально-экономического развития, норм, предусматривающих в его деятельности приоритет целей и задач по развитию конкуренции на соответствующих товарных рынках</t>
  </si>
  <si>
    <t xml:space="preserve">Наличие нормативного правового акта, направленного на создание и организацию системы внутреннего обеспечения соответствия требованиям антимонопольного законодательства деятельности областных исполнительных органов государственной власти Новосибирской области </t>
  </si>
  <si>
    <t xml:space="preserve">Сокращение количества муниципальных унитарных предприятий (МУП)</t>
  </si>
  <si>
    <t xml:space="preserve">Опубликование и актуализация на официальном сайте муниципального образования в сети «Интернет» информации об объектах, находящихся в муниципальной собственности, включая сведения о наименованиях объектов, их местоположении, характеристиках и целевом назначении объектов, существующих ограничениях использования и обременения правами третьих лиц </t>
  </si>
  <si>
    <t xml:space="preserve">Наличие нарушений антимонопольного законодательства ОМСУ НСО</t>
  </si>
  <si>
    <t xml:space="preserve">Достижение целевого показателя «Доля закупок у субъектов малого и среднего предпринимательства в совокупном стоимостном объеме договоров, заключенных по результатам закупок в соответствии с Федеральным законом от 18.07.2011 № 223-ФЗ «О закупках товаров, работ, услуг отдельными видами юридических лиц»</t>
  </si>
  <si>
    <t xml:space="preserve">Достижение целевого показателя «Доля конкурентных закупок с субъектами малого предпринимательства в общем количестве закупок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</si>
  <si>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Достижение целевого показателя «Среднее число участников закупок, осуществленных по результатам конкурентных способов определения поставщиков (подрядчиков, исполнителей) в соответствии с Федеральным законом от 18.07.2011 № 223-ФЗ «О закупках товаров, работ, услуг отдельными видами юридических лиц»</t>
  </si>
  <si>
    <t xml:space="preserve">Достижение целевого показателя «Среднее число участников закупок, осуществленных по результатам конкурентных способов определения поставщиков (подрядчиков, исполнителей)» в соответствии с Федеральным законом от 05.04.2013 № 44-ФЗ «О контрактной системе в сфере закупок товаров, работ, услуг для обеспечения государственных и муниципальных нужд»</t>
  </si>
  <si>
    <t xml:space="preserve">Доля коммерческих организаций с признаками недостоверности сведений единого государственного реестра юридических лиц от общего количества зарегистрированных на территории муниципального района/муниципального, городского округа Новосибирской области</t>
  </si>
  <si>
    <t xml:space="preserve">Наличие на официальном сайте муниципального образования в сети «Интернет» раздела, посвященного инвестиционной деятельности</t>
  </si>
  <si>
    <t xml:space="preserve">Наличие коллегиального органа, обеспечивающего рассмотрение инвестиционных проектов и вопросов улучшения инвестиционного климата муниципального образования</t>
  </si>
  <si>
    <t xml:space="preserve">Динамика объема инвестиций в основной капитал по полному кругу предприятий</t>
  </si>
  <si>
    <t xml:space="preserve">Количество инвестиционных проектов (кроме проектов  создания социальной, инженерной и транспортной инфраструктуры за счет бюджетных средств всех уровней), реализация которых завершилась на территории муниципального образования в отчетном году</t>
  </si>
  <si>
    <t xml:space="preserve">Наличие реализуемых в муниципальном образовании проектов государственно-муниципально-частного партнерства, в том числе концессионных соглашений</t>
  </si>
  <si>
    <t xml:space="preserve">Уровень предпринимательской активности (количество субъектов малого и среднего предпринимательства на 10 тыс. человек населения муниципального образования)</t>
  </si>
  <si>
    <t xml:space="preserve">Оборот малых и средних предприятий на 1000 человек населения муниципального образования</t>
  </si>
  <si>
    <t xml:space="preserve">Количество субъектов малого и среднего предпринимательства, воспользовавшихся финансовой поддержкой в рамках муниципальных программ</t>
  </si>
  <si>
    <t xml:space="preserve">Динамика объема привлеченных средств на поддержку малого и среднего предпринимательства на 1000 человек населения муниципального образования</t>
  </si>
  <si>
    <t xml:space="preserve">Темп роста среднемесячной номинальной начисленной заработной платы работников крупных и средних предприятий и некоммерческих организаций, % к предыдущему году</t>
  </si>
  <si>
    <t xml:space="preserve">Динамика налоговых поступлений в консолидированный бюджет Новосибирской области с территории муниципального образования</t>
  </si>
  <si>
    <t xml:space="preserve">Достижение целевых значений показателей целевой модели упрощения процедур ведения бизнеса и повышения инвестиционной привлекательности Новосибирской области «Подготовка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имущества»</t>
  </si>
  <si>
    <t xml:space="preserve">Достижение планового значения показателя по реализации Плана-графика проведения работ по выявлению правообладателей ранее учтенных объектов недвижимости</t>
  </si>
  <si>
    <t xml:space="preserve">Достижение результативности проведения работ по выявлению правообладателей ранее учтенных объектов недвижимости</t>
  </si>
  <si>
    <t xml:space="preserve">Участие муниципальных образований в региональном этапе федерального конкурса «Лучшая муниципальная практика» </t>
  </si>
  <si>
    <t xml:space="preserve">Наличие заключений об оценке регулирующего воздействия проектов муниципальных правовых актов в отчетном году</t>
  </si>
  <si>
    <t xml:space="preserve">Наличие заключений об экспертизе действующих муниципальных правовых актов в отчетном году</t>
  </si>
  <si>
    <t xml:space="preserve">Доля профилактических визитов в отчетном году от суммарного количества проверок и профилактических визитов</t>
  </si>
  <si>
    <t xml:space="preserve">Общая оценка удовлетворенности субъектов предпринимательской деятельности и потребителей товаров, работ и услуг качеством официальной информации о состоянии конкурентной среды на товарных рынках Новосибирской области (уровень доступности, уровень понятности и уровень удобства получения информации)</t>
  </si>
  <si>
    <t xml:space="preserve">Оценка деятельности органов власти (доля респондентов, считающих, что органы власти помогают бизнесу своими действиями)</t>
  </si>
  <si>
    <t xml:space="preserve">Оценка уровня конкуренции на рынках (доля респондентов, считающих уровень конкуренции на рынке высоким)</t>
  </si>
  <si>
    <t xml:space="preserve">Оценка состояния административных барьеров для ведения текущей деятельности и открытия нового бизнеса в разрезе муниципальных образований (доля респондентов, считающих что на товарных рынках отсутствуют непреодолимые административные барьеры)</t>
  </si>
  <si>
    <t>ранг</t>
  </si>
  <si>
    <t>место</t>
  </si>
  <si>
    <t xml:space="preserve">2024 (да/нет)</t>
  </si>
  <si>
    <t>баллы</t>
  </si>
  <si>
    <t xml:space="preserve">от 1 до 5 членов коллегиального органа из числа предпринимателей, инвесторов, представителей общественных организаций</t>
  </si>
  <si>
    <t xml:space="preserve">свыше 5 членов коллегиального органа из числа предпринимателей, инвесторов, представителей общественных организаций</t>
  </si>
  <si>
    <t xml:space="preserve">от 1 до 4 заседаний коллегиального органа в год, на которых рассматривались вопросы по содействию развитию конкуренции в муниципальном образовании</t>
  </si>
  <si>
    <t xml:space="preserve">свыше 4 заседаний коллегиального органа в год, на которых рассматривались вопросы по содействию развитию конкуренции в муниципальном образовании</t>
  </si>
  <si>
    <t xml:space="preserve">соглашение о внедрении в Новосибирской области Стандарта</t>
  </si>
  <si>
    <t xml:space="preserve">протокол(ы) заседаний коллегиального органа в отчетном периоде</t>
  </si>
  <si>
    <t xml:space="preserve">план мероприятий («дорожная карта») по содействию развитию конкуренции в муниципальном районе (муниципальном, городском округе)</t>
  </si>
  <si>
    <t xml:space="preserve">отчет об исполнении плана мероприятий («дорожной карты») по содействию развитию конкуренции в муниципальном образовании отчетном периоде</t>
  </si>
  <si>
    <t xml:space="preserve"> (да/нет)</t>
  </si>
  <si>
    <t xml:space="preserve">наличие мероприятий, предусмотренных в плане мероприятий («дорожной карте») Новосибирской области, по которым ОМСУ НСО являются исполнителями /соисполнителями(да/нет)</t>
  </si>
  <si>
    <t>(да/нет)</t>
  </si>
  <si>
    <t xml:space="preserve">за каждое сокращенное МУП в течение отчетного года</t>
  </si>
  <si>
    <t>нет</t>
  </si>
  <si>
    <t xml:space="preserve">1  нарушение </t>
  </si>
  <si>
    <t xml:space="preserve">2 и более нарушений</t>
  </si>
  <si>
    <t xml:space="preserve">(25% и более, от  20% до 25%, менее 20%)</t>
  </si>
  <si>
    <t xml:space="preserve">(35% и более, от 25% до 35%, от 15% о 25%, менее 15%)</t>
  </si>
  <si>
    <t xml:space="preserve">(2 и более, от 1 до 2, менее 1)</t>
  </si>
  <si>
    <t xml:space="preserve">2024 г.</t>
  </si>
  <si>
    <t xml:space="preserve">2024 г. (%)</t>
  </si>
  <si>
    <t xml:space="preserve">инвестиционный паспорт муниципального образования</t>
  </si>
  <si>
    <t xml:space="preserve">отчет инвестиционного уполномоченного муниципального образования</t>
  </si>
  <si>
    <t xml:space="preserve">инвестиционное послание главы муниципального образования за отчетный год</t>
  </si>
  <si>
    <t xml:space="preserve">план создания объектов необходимой для инвесторов инфраструктуры в муниципальном образовании</t>
  </si>
  <si>
    <t xml:space="preserve">протоколы заседания коллегиального органа, обеспечивающего рассмотрение инвестиционных проектов и вопросов улучшения инвестиционного климата муниципального образования</t>
  </si>
  <si>
    <t xml:space="preserve">от 1 до 2 заседаний коллегиального органа, на которых рассматривались вопросы в сфере инвестиционной деятельности муниципального образования</t>
  </si>
  <si>
    <t xml:space="preserve">от 3 до 4 заседаний коллегиального органа, на которых рассматривались вопросы в сфере инвестиционной деятельности муниципального образования</t>
  </si>
  <si>
    <t xml:space="preserve">свыше 4 заседаний коллегиального органа, на которых рассматривались вопросы в сфере инвестиционной деятельности муниципального образования</t>
  </si>
  <si>
    <t xml:space="preserve">2023 г.</t>
  </si>
  <si>
    <t xml:space="preserve">больше 5</t>
  </si>
  <si>
    <t>4-5</t>
  </si>
  <si>
    <t>1-3</t>
  </si>
  <si>
    <t xml:space="preserve">отсутствуют </t>
  </si>
  <si>
    <t xml:space="preserve">за каждый реализуемый проект </t>
  </si>
  <si>
    <t xml:space="preserve">за 3 и более проектов</t>
  </si>
  <si>
    <t xml:space="preserve">2024 г. (среднеобластной показатель)</t>
  </si>
  <si>
    <t xml:space="preserve">свыше 5</t>
  </si>
  <si>
    <t xml:space="preserve">не оказывались </t>
  </si>
  <si>
    <t xml:space="preserve">(105% и выше,      101% - 104,9%,       99% - 100,9%,      98,9% и ниже)</t>
  </si>
  <si>
    <t>да/нет</t>
  </si>
  <si>
    <t xml:space="preserve">(50% и выше, от 30 до 50%, менее 30%)</t>
  </si>
  <si>
    <t xml:space="preserve">70% и более</t>
  </si>
  <si>
    <t xml:space="preserve">менее 70%</t>
  </si>
  <si>
    <t>Новосибирский</t>
  </si>
  <si>
    <t>да</t>
  </si>
  <si>
    <t>-</t>
  </si>
  <si>
    <t>+</t>
  </si>
  <si>
    <t>Купинский</t>
  </si>
  <si>
    <t>Тогучинский</t>
  </si>
  <si>
    <t>Черепановский</t>
  </si>
  <si>
    <t>Краснозерский</t>
  </si>
  <si>
    <t>Карасукский</t>
  </si>
  <si>
    <t>Сузунский</t>
  </si>
  <si>
    <t>Куйбышевский</t>
  </si>
  <si>
    <t>Татарский</t>
  </si>
  <si>
    <t>Искитимский</t>
  </si>
  <si>
    <t>Чулымский</t>
  </si>
  <si>
    <t>Маслянинский</t>
  </si>
  <si>
    <t>Колыванский</t>
  </si>
  <si>
    <t>Каргатский</t>
  </si>
  <si>
    <t>Болотнинский</t>
  </si>
  <si>
    <t>Барабинский</t>
  </si>
  <si>
    <t>Ордынский</t>
  </si>
  <si>
    <t>Баганский</t>
  </si>
  <si>
    <t>Коченевский</t>
  </si>
  <si>
    <t>Доволенский</t>
  </si>
  <si>
    <t>Здвинский</t>
  </si>
  <si>
    <t>Убинский</t>
  </si>
  <si>
    <t>Чановский</t>
  </si>
  <si>
    <t>Усть-Таркский</t>
  </si>
  <si>
    <t>Кочковский</t>
  </si>
  <si>
    <t>Мошковский</t>
  </si>
  <si>
    <t>Венгеровский</t>
  </si>
  <si>
    <t>Северный</t>
  </si>
  <si>
    <t>Чистоозерный</t>
  </si>
  <si>
    <t>Кыштовский</t>
  </si>
  <si>
    <t xml:space="preserve">Городские округа</t>
  </si>
  <si>
    <t xml:space="preserve">г. Новосибирск</t>
  </si>
  <si>
    <t>г.Бердск</t>
  </si>
  <si>
    <t>г.Искитим</t>
  </si>
  <si>
    <t xml:space="preserve">г. Обь</t>
  </si>
  <si>
    <t xml:space="preserve">р.п. Кольцово</t>
  </si>
  <si>
    <t xml:space="preserve">Инвестиционный рейтинг муниципальных образований 2024 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</si>
</sst>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_-;\-* #,##0.00_-;_-* &quot;-&quot;??_-;_-@_-"/>
    <numFmt numFmtId="161" formatCode="0.0"/>
    <numFmt numFmtId="162" formatCode="#,##0.0"/>
    <numFmt numFmtId="163" formatCode="_-* #,##0\ _₽_-;\-* #,##0\ _₽_-;_-* &quot;-&quot;??\ _₽_-;_-@_-"/>
  </numFmts>
  <fonts count="14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2.000000"/>
      <name val="Arial Cyr"/>
    </font>
    <font>
      <sz val="12.000000"/>
      <color theme="1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b/>
      <sz val="11.000000"/>
      <name val="Times New Roman"/>
    </font>
    <font>
      <b/>
      <sz val="12.000000"/>
      <color theme="1"/>
      <name val="Times New Roman"/>
    </font>
    <font>
      <b/>
      <i/>
      <sz val="11.000000"/>
      <color theme="1"/>
      <name val="Times New Roman"/>
    </font>
    <font>
      <b/>
      <i/>
      <sz val="11.000000"/>
      <name val="Times New Roman"/>
    </font>
    <font>
      <sz val="11.000000"/>
      <name val="Times New Roman"/>
    </font>
    <font>
      <sz val="10.000000"/>
      <name val="Tahoma"/>
    </font>
    <font>
      <b/>
      <sz val="18.000000"/>
      <color theme="1"/>
      <name val="Times New Roman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2EFD8"/>
        <bgColor rgb="FFE2EFD8"/>
      </patternFill>
    </fill>
    <fill>
      <patternFill patternType="solid">
        <fgColor rgb="FFFEF2CB"/>
        <bgColor rgb="FFFEF2CB"/>
      </patternFill>
    </fill>
    <fill>
      <patternFill patternType="solid">
        <fgColor rgb="FFD9E2F2"/>
        <bgColor rgb="FFD9E2F2"/>
      </patternFill>
    </fill>
    <fill>
      <patternFill patternType="solid">
        <fgColor rgb="FFCFCECE"/>
        <bgColor rgb="FFCFCECE"/>
      </patternFill>
    </fill>
    <fill>
      <patternFill patternType="solid">
        <fgColor indexed="5"/>
        <bgColor indexed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indexed="65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7CAAC"/>
        <bgColor rgb="FFF7CAAC"/>
      </patternFill>
    </fill>
    <fill>
      <patternFill patternType="solid">
        <fgColor theme="0" tint="0"/>
        <bgColor theme="0" tint="0"/>
      </patternFill>
    </fill>
  </fills>
  <borders count="5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</borders>
  <cellStyleXfs count="8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>
      <protection locked="0"/>
    </xf>
    <xf fontId="3" fillId="0" borderId="0" numFmtId="0" applyNumberFormat="1" applyFont="1" applyFill="1" applyBorder="1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</cellStyleXfs>
  <cellXfs count="493">
    <xf fontId="0" fillId="0" borderId="0" numFmtId="0" xfId="0"/>
    <xf fontId="0" fillId="2" borderId="0" numFmtId="0" xfId="0" applyFill="1"/>
    <xf fontId="0" fillId="3" borderId="0" numFmtId="0" xfId="0" applyFill="1"/>
    <xf fontId="0" fillId="4" borderId="0" numFmtId="0" xfId="0" applyFill="1"/>
    <xf fontId="0" fillId="2" borderId="0" numFmtId="0" xfId="0" applyFill="1" applyAlignment="1">
      <alignment horizontal="center"/>
    </xf>
    <xf fontId="0" fillId="2" borderId="0" numFmtId="0" xfId="0" applyFill="1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center" vertical="center"/>
    </xf>
    <xf fontId="0" fillId="2" borderId="1" numFmtId="0" xfId="0" applyFill="1" applyBorder="1" applyAlignment="1">
      <alignment horizontal="center" vertical="center"/>
    </xf>
    <xf fontId="4" fillId="0" borderId="2" numFmtId="0" xfId="0" applyFont="1" applyBorder="1" applyAlignment="1">
      <alignment horizontal="center" vertical="center" wrapText="1"/>
    </xf>
    <xf fontId="5" fillId="5" borderId="3" numFmtId="0" xfId="0" applyFont="1" applyFill="1" applyBorder="1" applyAlignment="1">
      <alignment horizontal="center"/>
    </xf>
    <xf fontId="6" fillId="5" borderId="4" numFmtId="0" xfId="0" applyFont="1" applyFill="1" applyBorder="1" applyAlignment="1">
      <alignment horizontal="center"/>
    </xf>
    <xf fontId="5" fillId="5" borderId="5" numFmtId="0" xfId="0" applyFont="1" applyFill="1" applyBorder="1" applyAlignment="1">
      <alignment horizontal="center"/>
    </xf>
    <xf fontId="6" fillId="5" borderId="5" numFmtId="0" xfId="0" applyFont="1" applyFill="1" applyBorder="1" applyAlignment="1">
      <alignment horizontal="center"/>
    </xf>
    <xf fontId="5" fillId="5" borderId="4" numFmtId="0" xfId="0" applyFont="1" applyFill="1" applyBorder="1" applyAlignment="1">
      <alignment horizontal="center"/>
    </xf>
    <xf fontId="5" fillId="5" borderId="6" numFmtId="0" xfId="0" applyFont="1" applyFill="1" applyBorder="1" applyAlignment="1">
      <alignment horizontal="center"/>
    </xf>
    <xf fontId="5" fillId="2" borderId="3" numFmtId="0" xfId="0" applyFont="1" applyFill="1" applyBorder="1" applyAlignment="1">
      <alignment horizontal="center"/>
    </xf>
    <xf fontId="5" fillId="2" borderId="4" numFmtId="0" xfId="0" applyFont="1" applyFill="1" applyBorder="1" applyAlignment="1">
      <alignment horizontal="center"/>
    </xf>
    <xf fontId="5" fillId="6" borderId="4" numFmtId="0" xfId="0" applyFont="1" applyFill="1" applyBorder="1" applyAlignment="1">
      <alignment horizontal="center"/>
    </xf>
    <xf fontId="5" fillId="6" borderId="5" numFmtId="0" xfId="0" applyFont="1" applyFill="1" applyBorder="1" applyAlignment="1">
      <alignment horizontal="center"/>
    </xf>
    <xf fontId="5" fillId="6" borderId="7" numFmtId="0" xfId="0" applyFont="1" applyFill="1" applyBorder="1" applyAlignment="1">
      <alignment horizontal="center"/>
    </xf>
    <xf fontId="5" fillId="7" borderId="3" numFmtId="0" xfId="0" applyFont="1" applyFill="1" applyBorder="1" applyAlignment="1">
      <alignment horizontal="center"/>
    </xf>
    <xf fontId="5" fillId="7" borderId="4" numFmtId="0" xfId="0" applyFont="1" applyFill="1" applyBorder="1" applyAlignment="1">
      <alignment horizontal="center"/>
    </xf>
    <xf fontId="5" fillId="7" borderId="5" numFmtId="0" xfId="0" applyFont="1" applyFill="1" applyBorder="1" applyAlignment="1">
      <alignment horizontal="center"/>
    </xf>
    <xf fontId="5" fillId="4" borderId="5" numFmtId="0" xfId="0" applyFont="1" applyFill="1" applyBorder="1" applyAlignment="1">
      <alignment horizontal="center"/>
    </xf>
    <xf fontId="5" fillId="7" borderId="7" numFmtId="0" xfId="0" applyFont="1" applyFill="1" applyBorder="1" applyAlignment="1">
      <alignment horizontal="center"/>
    </xf>
    <xf fontId="5" fillId="8" borderId="8" numFmtId="0" xfId="0" applyFont="1" applyFill="1" applyBorder="1" applyAlignment="1">
      <alignment horizontal="center"/>
    </xf>
    <xf fontId="5" fillId="8" borderId="0" numFmtId="0" xfId="0" applyFont="1" applyFill="1" applyAlignment="1">
      <alignment horizontal="center"/>
    </xf>
    <xf fontId="7" fillId="9" borderId="4" numFmtId="0" xfId="0" applyFont="1" applyFill="1" applyBorder="1" applyAlignment="1">
      <alignment horizontal="center"/>
    </xf>
    <xf fontId="8" fillId="10" borderId="5" numFmtId="0" xfId="0" applyFont="1" applyFill="1" applyBorder="1" applyAlignment="1">
      <alignment vertical="center" wrapText="1"/>
    </xf>
    <xf fontId="8" fillId="10" borderId="7" numFmtId="0" xfId="0" applyFont="1" applyFill="1" applyBorder="1" applyAlignment="1">
      <alignment vertical="center" wrapText="1"/>
    </xf>
    <xf fontId="4" fillId="0" borderId="9" numFmtId="0" xfId="0" applyFont="1" applyBorder="1" applyAlignment="1">
      <alignment horizontal="center" vertical="center" wrapText="1"/>
    </xf>
    <xf fontId="5" fillId="5" borderId="3" numFmtId="0" xfId="0" applyFont="1" applyFill="1" applyBorder="1" applyAlignment="1">
      <alignment horizontal="center" vertical="center" wrapText="1"/>
    </xf>
    <xf fontId="6" fillId="5" borderId="4" numFmtId="0" xfId="0" applyFont="1" applyFill="1" applyBorder="1" applyAlignment="1">
      <alignment horizontal="center" vertical="center" wrapText="1"/>
    </xf>
    <xf fontId="5" fillId="5" borderId="10" numFmtId="0" xfId="0" applyFont="1" applyFill="1" applyBorder="1" applyAlignment="1">
      <alignment horizontal="center" vertical="center" wrapText="1"/>
    </xf>
    <xf fontId="6" fillId="5" borderId="11" numFmtId="0" xfId="0" applyFont="1" applyFill="1" applyBorder="1" applyAlignment="1">
      <alignment horizontal="center" vertical="center" wrapText="1"/>
    </xf>
    <xf fontId="5" fillId="5" borderId="11" numFmtId="0" xfId="0" applyFont="1" applyFill="1" applyBorder="1" applyAlignment="1">
      <alignment horizontal="center" vertical="center" wrapText="1"/>
    </xf>
    <xf fontId="6" fillId="5" borderId="12" numFmtId="0" xfId="0" applyFont="1" applyFill="1" applyBorder="1" applyAlignment="1">
      <alignment horizontal="center" vertical="center" wrapText="1"/>
    </xf>
    <xf fontId="5" fillId="5" borderId="4" numFmtId="0" xfId="0" applyFont="1" applyFill="1" applyBorder="1" applyAlignment="1">
      <alignment horizontal="center" vertical="center" wrapText="1"/>
    </xf>
    <xf fontId="5" fillId="5" borderId="6" numFmtId="0" xfId="0" applyFont="1" applyFill="1" applyBorder="1" applyAlignment="1">
      <alignment horizontal="center" vertical="center" wrapText="1"/>
    </xf>
    <xf fontId="5" fillId="11" borderId="3" numFmtId="0" xfId="0" applyFont="1" applyFill="1" applyBorder="1" applyAlignment="1">
      <alignment horizontal="center" vertical="center" wrapText="1"/>
    </xf>
    <xf fontId="5" fillId="11" borderId="6" numFmtId="0" xfId="0" applyFont="1" applyFill="1" applyBorder="1" applyAlignment="1">
      <alignment horizontal="center" vertical="center" wrapText="1"/>
    </xf>
    <xf fontId="5" fillId="6" borderId="3" numFmtId="0" xfId="0" applyFont="1" applyFill="1" applyBorder="1" applyAlignment="1">
      <alignment horizontal="center" vertical="center" wrapText="1"/>
    </xf>
    <xf fontId="5" fillId="6" borderId="6" numFmtId="0" xfId="0" applyFont="1" applyFill="1" applyBorder="1" applyAlignment="1">
      <alignment horizontal="center" vertical="center" wrapText="1"/>
    </xf>
    <xf fontId="5" fillId="12" borderId="4" numFmtId="0" xfId="0" applyFont="1" applyFill="1" applyBorder="1" applyAlignment="1">
      <alignment horizontal="center" vertical="center" wrapText="1"/>
    </xf>
    <xf fontId="5" fillId="12" borderId="6" numFmtId="0" xfId="0" applyFont="1" applyFill="1" applyBorder="1" applyAlignment="1">
      <alignment horizontal="center" vertical="center" wrapText="1"/>
    </xf>
    <xf fontId="5" fillId="12" borderId="3" numFmtId="0" xfId="0" applyFont="1" applyFill="1" applyBorder="1" applyAlignment="1">
      <alignment horizontal="center" vertical="center" wrapText="1"/>
    </xf>
    <xf fontId="5" fillId="12" borderId="1" numFmtId="0" xfId="0" applyFont="1" applyFill="1" applyBorder="1" applyAlignment="1">
      <alignment horizontal="center" vertical="center" wrapText="1"/>
    </xf>
    <xf fontId="5" fillId="7" borderId="4" numFmtId="0" xfId="0" applyFont="1" applyFill="1" applyBorder="1" applyAlignment="1">
      <alignment horizontal="center" vertical="center" wrapText="1"/>
    </xf>
    <xf fontId="5" fillId="7" borderId="1" numFmtId="0" xfId="0" applyFont="1" applyFill="1" applyBorder="1" applyAlignment="1">
      <alignment horizontal="center" vertical="center" wrapText="1"/>
    </xf>
    <xf fontId="5" fillId="13" borderId="10" numFmtId="0" xfId="0" applyFont="1" applyFill="1" applyBorder="1" applyAlignment="1">
      <alignment horizontal="center" vertical="center" wrapText="1"/>
    </xf>
    <xf fontId="5" fillId="13" borderId="11" numFmtId="0" xfId="0" applyFont="1" applyFill="1" applyBorder="1" applyAlignment="1">
      <alignment horizontal="center" vertical="center" wrapText="1"/>
    </xf>
    <xf fontId="5" fillId="13" borderId="12" numFmtId="0" xfId="0" applyFont="1" applyFill="1" applyBorder="1" applyAlignment="1">
      <alignment horizontal="center" vertical="center" wrapText="1"/>
    </xf>
    <xf fontId="5" fillId="14" borderId="3" numFmtId="0" xfId="0" applyFont="1" applyFill="1" applyBorder="1" applyAlignment="1">
      <alignment horizontal="center" vertical="center" wrapText="1"/>
    </xf>
    <xf fontId="5" fillId="14" borderId="4" numFmtId="0" xfId="0" applyFont="1" applyFill="1" applyBorder="1" applyAlignment="1">
      <alignment horizontal="center" vertical="center" wrapText="1"/>
    </xf>
    <xf fontId="5" fillId="14" borderId="1" numFmtId="0" xfId="0" applyFont="1" applyFill="1" applyBorder="1" applyAlignment="1">
      <alignment horizontal="center" vertical="center" wrapText="1"/>
    </xf>
    <xf fontId="5" fillId="8" borderId="10" numFmtId="0" xfId="0" applyFont="1" applyFill="1" applyBorder="1" applyAlignment="1">
      <alignment horizontal="center" vertical="center" wrapText="1"/>
    </xf>
    <xf fontId="5" fillId="8" borderId="11" numFmtId="0" xfId="0" applyFont="1" applyFill="1" applyBorder="1" applyAlignment="1">
      <alignment horizontal="center" vertical="center" wrapText="1"/>
    </xf>
    <xf fontId="5" fillId="8" borderId="12" numFmtId="0" xfId="0" applyFont="1" applyFill="1" applyBorder="1" applyAlignment="1">
      <alignment horizontal="center" vertical="center" wrapText="1"/>
    </xf>
    <xf fontId="5" fillId="14" borderId="6" numFmtId="0" xfId="0" applyFont="1" applyFill="1" applyBorder="1" applyAlignment="1">
      <alignment horizontal="center" vertical="center" wrapText="1"/>
    </xf>
    <xf fontId="5" fillId="14" borderId="11" numFmtId="0" xfId="0" applyFont="1" applyFill="1" applyBorder="1" applyAlignment="1">
      <alignment horizontal="center" vertical="center" wrapText="1"/>
    </xf>
    <xf fontId="5" fillId="14" borderId="10" numFmtId="0" xfId="0" applyFont="1" applyFill="1" applyBorder="1" applyAlignment="1">
      <alignment horizontal="center" vertical="center" wrapText="1"/>
    </xf>
    <xf fontId="5" fillId="14" borderId="12" numFmtId="0" xfId="0" applyFont="1" applyFill="1" applyBorder="1" applyAlignment="1">
      <alignment horizontal="center" vertical="center" wrapText="1"/>
    </xf>
    <xf fontId="5" fillId="15" borderId="3" numFmtId="0" xfId="0" applyFont="1" applyFill="1" applyBorder="1" applyAlignment="1">
      <alignment horizontal="center" vertical="center" wrapText="1"/>
    </xf>
    <xf fontId="5" fillId="15" borderId="6" numFmtId="0" xfId="0" applyFont="1" applyFill="1" applyBorder="1" applyAlignment="1">
      <alignment horizontal="center" vertical="center" wrapText="1"/>
    </xf>
    <xf fontId="8" fillId="10" borderId="12" numFmtId="0" xfId="0" applyFont="1" applyFill="1" applyBorder="1" applyAlignment="1">
      <alignment horizontal="center" vertical="center" wrapText="1"/>
    </xf>
    <xf fontId="8" fillId="10" borderId="1" numFmtId="0" xfId="0" applyFont="1" applyFill="1" applyBorder="1" applyAlignment="1">
      <alignment horizontal="center" vertical="center" wrapText="1"/>
    </xf>
    <xf fontId="0" fillId="0" borderId="0" numFmtId="0" xfId="0" applyAlignment="1">
      <alignment vertical="top"/>
    </xf>
    <xf fontId="4" fillId="0" borderId="13" numFmtId="0" xfId="0" applyFont="1" applyBorder="1" applyAlignment="1">
      <alignment horizontal="center" vertical="center" wrapText="1"/>
    </xf>
    <xf fontId="9" fillId="5" borderId="14" numFmtId="0" xfId="0" applyFont="1" applyFill="1" applyBorder="1" applyAlignment="1">
      <alignment horizontal="center" vertical="top"/>
    </xf>
    <xf fontId="9" fillId="5" borderId="13" numFmtId="0" xfId="0" applyFont="1" applyFill="1" applyBorder="1" applyAlignment="1">
      <alignment horizontal="center" vertical="top" wrapText="1"/>
    </xf>
    <xf fontId="9" fillId="5" borderId="14" numFmtId="0" xfId="0" applyFont="1" applyFill="1" applyBorder="1" applyAlignment="1">
      <alignment horizontal="center" vertical="top" wrapText="1"/>
    </xf>
    <xf fontId="9" fillId="6" borderId="14" numFmtId="0" xfId="0" applyFont="1" applyFill="1" applyBorder="1" applyAlignment="1">
      <alignment horizontal="center" vertical="top" wrapText="1"/>
    </xf>
    <xf fontId="9" fillId="6" borderId="2" numFmtId="0" xfId="0" applyFont="1" applyFill="1" applyBorder="1" applyAlignment="1">
      <alignment horizontal="center" vertical="top" wrapText="1"/>
    </xf>
    <xf fontId="9" fillId="6" borderId="9" numFmtId="0" xfId="0" applyFont="1" applyFill="1" applyBorder="1" applyAlignment="1">
      <alignment horizontal="center" vertical="top" wrapText="1"/>
    </xf>
    <xf fontId="9" fillId="6" borderId="13" numFmtId="0" xfId="0" applyFont="1" applyFill="1" applyBorder="1" applyAlignment="1">
      <alignment horizontal="center" vertical="top" wrapText="1"/>
    </xf>
    <xf fontId="10" fillId="6" borderId="13" numFmtId="0" xfId="0" applyFont="1" applyFill="1" applyBorder="1" applyAlignment="1">
      <alignment horizontal="center" vertical="top" wrapText="1"/>
    </xf>
    <xf fontId="9" fillId="6" borderId="13" numFmtId="0" xfId="0" applyFont="1" applyFill="1" applyBorder="1" applyAlignment="1">
      <alignment horizontal="center" vertical="top"/>
    </xf>
    <xf fontId="9" fillId="7" borderId="14" numFmtId="0" xfId="0" applyFont="1" applyFill="1" applyBorder="1" applyAlignment="1">
      <alignment horizontal="center" vertical="top" wrapText="1"/>
    </xf>
    <xf fontId="9" fillId="7" borderId="13" numFmtId="0" xfId="0" applyFont="1" applyFill="1" applyBorder="1" applyAlignment="1">
      <alignment horizontal="center" vertical="top" wrapText="1"/>
    </xf>
    <xf fontId="9" fillId="7" borderId="15" numFmtId="0" xfId="0" applyFont="1" applyFill="1" applyBorder="1" applyAlignment="1">
      <alignment horizontal="center" vertical="top" wrapText="1"/>
    </xf>
    <xf fontId="9" fillId="7" borderId="16" numFmtId="0" xfId="0" applyFont="1" applyFill="1" applyBorder="1" applyAlignment="1">
      <alignment horizontal="center" vertical="top" wrapText="1"/>
    </xf>
    <xf fontId="9" fillId="7" borderId="1" numFmtId="0" xfId="0" applyFont="1" applyFill="1" applyBorder="1" applyAlignment="1">
      <alignment horizontal="center" vertical="top" wrapText="1"/>
    </xf>
    <xf fontId="9" fillId="7" borderId="16" numFmtId="49" xfId="0" applyNumberFormat="1" applyFont="1" applyFill="1" applyBorder="1" applyAlignment="1">
      <alignment horizontal="center" vertical="top" wrapText="1"/>
    </xf>
    <xf fontId="9" fillId="7" borderId="17" numFmtId="0" xfId="0" applyFont="1" applyFill="1" applyBorder="1" applyAlignment="1">
      <alignment horizontal="center" vertical="top" wrapText="1"/>
    </xf>
    <xf fontId="5" fillId="7" borderId="18" numFmtId="0" xfId="0" applyFont="1" applyFill="1" applyBorder="1" applyAlignment="1">
      <alignment horizontal="center" vertical="top" wrapText="1"/>
    </xf>
    <xf fontId="9" fillId="8" borderId="2" numFmtId="0" xfId="0" applyFont="1" applyFill="1" applyBorder="1" applyAlignment="1">
      <alignment horizontal="center" vertical="top" wrapText="1"/>
    </xf>
    <xf fontId="9" fillId="8" borderId="0" numFmtId="0" xfId="0" applyFont="1" applyFill="1" applyAlignment="1">
      <alignment horizontal="center" vertical="top" wrapText="1"/>
    </xf>
    <xf fontId="9" fillId="8" borderId="9" numFmtId="0" xfId="0" applyFont="1" applyFill="1" applyBorder="1" applyAlignment="1">
      <alignment horizontal="center" vertical="top" wrapText="1"/>
    </xf>
    <xf fontId="9" fillId="8" borderId="15" numFmtId="0" xfId="0" applyFont="1" applyFill="1" applyBorder="1" applyAlignment="1">
      <alignment horizontal="center" vertical="top" wrapText="1"/>
    </xf>
    <xf fontId="9" fillId="8" borderId="1" numFmtId="0" xfId="0" applyFont="1" applyFill="1" applyBorder="1" applyAlignment="1">
      <alignment horizontal="center" vertical="top" wrapText="1"/>
    </xf>
    <xf fontId="9" fillId="8" borderId="1" numFmtId="49" xfId="0" applyNumberFormat="1" applyFont="1" applyFill="1" applyBorder="1" applyAlignment="1">
      <alignment horizontal="center" vertical="top" wrapText="1"/>
    </xf>
    <xf fontId="9" fillId="8" borderId="7" numFmtId="0" xfId="0" applyFont="1" applyFill="1" applyBorder="1" applyAlignment="1">
      <alignment horizontal="center" vertical="top" wrapText="1"/>
    </xf>
    <xf fontId="9" fillId="8" borderId="14" numFmtId="0" xfId="0" applyFont="1" applyFill="1" applyBorder="1" applyAlignment="1">
      <alignment horizontal="center" vertical="top" wrapText="1"/>
    </xf>
    <xf fontId="10" fillId="8" borderId="16" numFmtId="0" xfId="0" applyFont="1" applyFill="1" applyBorder="1" applyAlignment="1">
      <alignment horizontal="center" vertical="top" wrapText="1"/>
    </xf>
    <xf fontId="9" fillId="8" borderId="1" numFmtId="0" xfId="0" applyFont="1" applyFill="1" applyBorder="1" applyAlignment="1">
      <alignment horizontal="center" vertical="top"/>
    </xf>
    <xf fontId="9" fillId="8" borderId="16" numFmtId="0" xfId="0" applyFont="1" applyFill="1" applyBorder="1" applyAlignment="1">
      <alignment horizontal="center" vertical="top" wrapText="1"/>
    </xf>
    <xf fontId="9" fillId="8" borderId="16" numFmtId="0" xfId="0" applyFont="1" applyFill="1" applyBorder="1" applyAlignment="1">
      <alignment horizontal="center" vertical="top"/>
    </xf>
    <xf fontId="9" fillId="14" borderId="1" numFmtId="0" xfId="0" applyFont="1" applyFill="1" applyBorder="1" applyAlignment="1">
      <alignment horizontal="center" vertical="top" wrapText="1"/>
    </xf>
    <xf fontId="9" fillId="14" borderId="10" numFmtId="0" xfId="0" applyFont="1" applyFill="1" applyBorder="1" applyAlignment="1">
      <alignment horizontal="center" vertical="top" wrapText="1"/>
    </xf>
    <xf fontId="9" fillId="16" borderId="14" numFmtId="0" xfId="0" applyFont="1" applyFill="1" applyBorder="1" applyAlignment="1">
      <alignment horizontal="center" vertical="top"/>
    </xf>
    <xf fontId="9" fillId="16" borderId="0" numFmtId="0" xfId="0" applyFont="1" applyFill="1" applyAlignment="1">
      <alignment horizontal="center" vertical="top"/>
    </xf>
    <xf fontId="9" fillId="16" borderId="19" numFmtId="0" xfId="0" applyFont="1" applyFill="1" applyBorder="1" applyAlignment="1">
      <alignment horizontal="center" vertical="top"/>
    </xf>
    <xf fontId="9" fillId="10" borderId="13" numFmtId="0" xfId="0" applyFont="1" applyFill="1" applyBorder="1" applyAlignment="1">
      <alignment horizontal="center" vertical="top"/>
    </xf>
    <xf fontId="11" fillId="2" borderId="14" numFmtId="0" xfId="5" applyFont="1" applyFill="1" applyBorder="1"/>
    <xf fontId="6" fillId="2" borderId="14" numFmtId="0" xfId="0" applyFont="1" applyFill="1" applyBorder="1" applyAlignment="1">
      <alignment horizontal="center"/>
    </xf>
    <xf fontId="6" fillId="2" borderId="0" numFmtId="0" xfId="0" applyFont="1" applyFill="1" applyAlignment="1">
      <alignment horizontal="center"/>
    </xf>
    <xf fontId="6" fillId="2" borderId="3" numFmtId="0" xfId="0" applyFont="1" applyFill="1" applyBorder="1" applyAlignment="1">
      <alignment horizontal="center"/>
    </xf>
    <xf fontId="11" fillId="2" borderId="14" numFmtId="0" xfId="0" applyFont="1" applyFill="1" applyBorder="1" applyAlignment="1">
      <alignment horizontal="center"/>
    </xf>
    <xf fontId="6" fillId="2" borderId="11" numFmtId="0" xfId="0" applyFont="1" applyFill="1" applyBorder="1" applyAlignment="1">
      <alignment horizontal="center"/>
    </xf>
    <xf fontId="4" fillId="0" borderId="1" numFmtId="161" xfId="0" applyNumberFormat="1" applyFont="1" applyBorder="1" applyAlignment="1">
      <alignment horizontal="center"/>
    </xf>
    <xf fontId="6" fillId="2" borderId="4" numFmtId="0" xfId="0" applyFont="1" applyFill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/>
    </xf>
    <xf fontId="6" fillId="2" borderId="6" numFmtId="0" xfId="0" applyFont="1" applyFill="1" applyBorder="1" applyAlignment="1">
      <alignment horizontal="center" vertical="center" wrapText="1"/>
    </xf>
    <xf fontId="0" fillId="0" borderId="14" numFmtId="161" xfId="0" applyNumberFormat="1" applyBorder="1" applyAlignment="1" applyProtection="1">
      <alignment horizontal="center"/>
    </xf>
    <xf fontId="12" fillId="0" borderId="14" numFmtId="161" xfId="0" applyNumberFormat="1" applyFont="1" applyBorder="1" applyAlignment="1" applyProtection="1">
      <alignment vertical="top"/>
    </xf>
    <xf fontId="6" fillId="2" borderId="11" numFmtId="1" xfId="0" applyNumberFormat="1" applyFont="1" applyFill="1" applyBorder="1" applyAlignment="1">
      <alignment horizontal="center"/>
    </xf>
    <xf fontId="0" fillId="0" borderId="14" numFmtId="0" xfId="0" applyBorder="1" applyAlignment="1">
      <alignment horizontal="center"/>
    </xf>
    <xf fontId="6" fillId="0" borderId="12" numFmtId="161" xfId="0" applyNumberFormat="1" applyFont="1" applyBorder="1"/>
    <xf fontId="6" fillId="0" borderId="1" numFmtId="161" xfId="0" applyNumberFormat="1" applyFont="1" applyBorder="1"/>
    <xf fontId="6" fillId="2" borderId="4" numFmtId="0" xfId="0" applyFont="1" applyFill="1" applyBorder="1" applyAlignment="1">
      <alignment horizontal="center"/>
    </xf>
    <xf fontId="6" fillId="0" borderId="1" numFmtId="162" xfId="0" applyNumberFormat="1" applyFont="1" applyBorder="1"/>
    <xf fontId="6" fillId="2" borderId="4" numFmtId="1" xfId="0" applyNumberFormat="1" applyFont="1" applyFill="1" applyBorder="1" applyAlignment="1">
      <alignment horizontal="center" vertical="center"/>
    </xf>
    <xf fontId="6" fillId="2" borderId="1" numFmtId="1" xfId="0" applyNumberFormat="1" applyFont="1" applyFill="1" applyBorder="1" applyAlignment="1">
      <alignment horizontal="center" vertical="center"/>
    </xf>
    <xf fontId="6" fillId="2" borderId="10" numFmtId="1" xfId="0" applyNumberFormat="1" applyFont="1" applyFill="1" applyBorder="1" applyAlignment="1">
      <alignment horizontal="center" vertical="center"/>
    </xf>
    <xf fontId="6" fillId="2" borderId="6" numFmtId="1" xfId="0" applyNumberFormat="1" applyFont="1" applyFill="1" applyBorder="1" applyAlignment="1">
      <alignment horizontal="center"/>
    </xf>
    <xf fontId="6" fillId="0" borderId="14" numFmtId="161" xfId="0" applyNumberFormat="1" applyFont="1" applyBorder="1" applyAlignment="1">
      <alignment horizontal="center" vertical="center"/>
    </xf>
    <xf fontId="6" fillId="2" borderId="13" numFmtId="0" xfId="0" applyFont="1" applyFill="1" applyBorder="1" applyAlignment="1">
      <alignment horizontal="center"/>
    </xf>
    <xf fontId="0" fillId="0" borderId="14" numFmtId="163" xfId="6" applyNumberFormat="1" applyBorder="1"/>
    <xf fontId="6" fillId="2" borderId="13" numFmtId="0" xfId="0" applyFont="1" applyFill="1" applyBorder="1" applyAlignment="1">
      <alignment horizontal="center" vertical="center"/>
    </xf>
    <xf fontId="6" fillId="2" borderId="13" numFmtId="1" xfId="0" applyNumberFormat="1" applyFont="1" applyFill="1" applyBorder="1" applyAlignment="1">
      <alignment horizontal="center"/>
    </xf>
    <xf fontId="6" fillId="2" borderId="15" numFmtId="0" xfId="0" applyFont="1" applyFill="1" applyBorder="1" applyAlignment="1">
      <alignment horizontal="center" vertical="center"/>
    </xf>
    <xf fontId="6" fillId="2" borderId="12" numFmtId="0" xfId="0" applyFont="1" applyFill="1" applyBorder="1" applyAlignment="1">
      <alignment horizontal="center" vertical="center"/>
    </xf>
    <xf fontId="6" fillId="0" borderId="1" numFmtId="0" xfId="0" applyFont="1" applyBorder="1" applyAlignment="1">
      <alignment horizontal="center"/>
    </xf>
    <xf fontId="6" fillId="2" borderId="18" numFmtId="0" xfId="0" applyFont="1" applyFill="1" applyBorder="1" applyAlignment="1">
      <alignment horizontal="center" vertical="center"/>
    </xf>
    <xf fontId="6" fillId="2" borderId="17" numFmtId="0" xfId="0" applyFont="1" applyFill="1" applyBorder="1" applyAlignment="1">
      <alignment horizontal="center" vertical="center"/>
    </xf>
    <xf fontId="11" fillId="2" borderId="6" numFmtId="3" xfId="0" applyNumberFormat="1" applyFont="1" applyFill="1" applyBorder="1" applyAlignment="1">
      <alignment horizontal="center"/>
    </xf>
    <xf fontId="11" fillId="2" borderId="0" numFmtId="3" xfId="0" applyNumberFormat="1" applyFont="1" applyFill="1" applyAlignment="1">
      <alignment horizontal="center"/>
    </xf>
    <xf fontId="11" fillId="2" borderId="20" numFmtId="3" xfId="0" applyNumberFormat="1" applyFont="1" applyFill="1" applyBorder="1" applyAlignment="1">
      <alignment horizontal="center"/>
    </xf>
    <xf fontId="6" fillId="2" borderId="1" numFmtId="0" xfId="0" applyFont="1" applyFill="1" applyBorder="1" applyAlignment="1">
      <alignment horizontal="center"/>
    </xf>
    <xf fontId="11" fillId="2" borderId="21" numFmtId="3" xfId="0" applyNumberFormat="1" applyFont="1" applyFill="1" applyBorder="1" applyAlignment="1">
      <alignment horizontal="center"/>
    </xf>
    <xf fontId="6" fillId="2" borderId="22" numFmtId="0" xfId="0" applyFont="1" applyFill="1" applyBorder="1" applyAlignment="1">
      <alignment horizontal="center"/>
    </xf>
    <xf fontId="6" fillId="2" borderId="14" numFmtId="161" xfId="0" applyNumberFormat="1" applyFont="1" applyFill="1" applyBorder="1" applyAlignment="1">
      <alignment horizontal="center"/>
    </xf>
    <xf fontId="5" fillId="2" borderId="14" numFmtId="1" xfId="0" applyNumberFormat="1" applyFont="1" applyFill="1" applyBorder="1"/>
    <xf fontId="4" fillId="2" borderId="1" numFmtId="161" xfId="0" applyNumberFormat="1" applyFont="1" applyFill="1" applyBorder="1" applyAlignment="1">
      <alignment horizontal="center"/>
    </xf>
    <xf fontId="0" fillId="0" borderId="14" numFmtId="0" xfId="0" applyBorder="1"/>
    <xf fontId="6" fillId="0" borderId="1" numFmtId="162" xfId="0" applyNumberFormat="1" applyFont="1" applyBorder="1" applyAlignment="1">
      <alignment horizontal="right"/>
    </xf>
    <xf fontId="6" fillId="0" borderId="14" numFmtId="0" xfId="0" applyFont="1" applyBorder="1" applyAlignment="1">
      <alignment horizontal="center" vertical="center"/>
    </xf>
    <xf fontId="0" fillId="0" borderId="13" numFmtId="163" xfId="6" applyNumberFormat="1" applyBorder="1"/>
    <xf fontId="11" fillId="2" borderId="14" numFmtId="3" xfId="0" applyNumberFormat="1" applyFont="1" applyFill="1" applyBorder="1" applyAlignment="1">
      <alignment horizontal="center"/>
    </xf>
    <xf fontId="11" fillId="2" borderId="1" numFmtId="3" xfId="0" applyNumberFormat="1" applyFont="1" applyFill="1" applyBorder="1" applyAlignment="1">
      <alignment horizontal="center"/>
    </xf>
    <xf fontId="11" fillId="2" borderId="2" numFmtId="0" xfId="5" applyFont="1" applyFill="1" applyBorder="1"/>
    <xf fontId="6" fillId="2" borderId="2" numFmtId="0" xfId="0" applyFont="1" applyFill="1" applyBorder="1" applyAlignment="1">
      <alignment horizontal="center"/>
    </xf>
    <xf fontId="6" fillId="2" borderId="5" numFmtId="0" xfId="0" applyFont="1" applyFill="1" applyBorder="1" applyAlignment="1">
      <alignment horizontal="center" vertical="center" wrapText="1"/>
    </xf>
    <xf fontId="6" fillId="2" borderId="7" numFmtId="0" xfId="0" applyFont="1" applyFill="1" applyBorder="1" applyAlignment="1">
      <alignment horizontal="center" vertical="center" wrapText="1"/>
    </xf>
    <xf fontId="6" fillId="2" borderId="23" numFmtId="0" xfId="0" applyFont="1" applyFill="1" applyBorder="1" applyAlignment="1">
      <alignment horizontal="center"/>
    </xf>
    <xf fontId="6" fillId="2" borderId="9" numFmtId="0" xfId="0" applyFont="1" applyFill="1" applyBorder="1" applyAlignment="1">
      <alignment horizontal="center" vertical="center"/>
    </xf>
    <xf fontId="6" fillId="2" borderId="14" numFmtId="1" xfId="0" applyNumberFormat="1" applyFont="1" applyFill="1" applyBorder="1" applyAlignment="1">
      <alignment horizontal="center"/>
    </xf>
    <xf fontId="6" fillId="2" borderId="0" numFmtId="0" xfId="0" applyFont="1" applyFill="1" applyAlignment="1">
      <alignment horizontal="center" vertical="center"/>
    </xf>
    <xf fontId="6" fillId="2" borderId="24" numFmtId="0" xfId="0" applyFont="1" applyFill="1" applyBorder="1" applyAlignment="1">
      <alignment horizontal="center" vertical="center"/>
    </xf>
    <xf fontId="0" fillId="2" borderId="11" numFmtId="0" xfId="0" applyFill="1" applyBorder="1"/>
    <xf fontId="11" fillId="2" borderId="25" numFmtId="0" xfId="5" applyFont="1" applyFill="1" applyBorder="1"/>
    <xf fontId="6" fillId="2" borderId="26" numFmtId="0" xfId="0" applyFont="1" applyFill="1" applyBorder="1" applyAlignment="1">
      <alignment horizontal="center"/>
    </xf>
    <xf fontId="6" fillId="2" borderId="27" numFmtId="0" xfId="0" applyFont="1" applyFill="1" applyBorder="1" applyAlignment="1">
      <alignment horizontal="center"/>
    </xf>
    <xf fontId="6" fillId="2" borderId="11" numFmtId="0" xfId="0" applyFont="1" applyFill="1" applyBorder="1" applyAlignment="1">
      <alignment horizontal="center" vertical="center" wrapText="1"/>
    </xf>
    <xf fontId="6" fillId="2" borderId="28" numFmtId="0" xfId="0" applyFont="1" applyFill="1" applyBorder="1" applyAlignment="1">
      <alignment horizontal="center" vertical="center" wrapText="1"/>
    </xf>
    <xf fontId="6" fillId="2" borderId="29" numFmtId="0" xfId="0" applyFont="1" applyFill="1" applyBorder="1" applyAlignment="1">
      <alignment horizontal="center"/>
    </xf>
    <xf fontId="6" fillId="2" borderId="26" numFmtId="0" xfId="0" applyFont="1" applyFill="1" applyBorder="1" applyAlignment="1">
      <alignment horizontal="center" vertical="center"/>
    </xf>
    <xf fontId="6" fillId="2" borderId="11" numFmtId="0" xfId="0" applyFont="1" applyFill="1" applyBorder="1" applyAlignment="1">
      <alignment horizontal="center" vertical="center"/>
    </xf>
    <xf fontId="6" fillId="2" borderId="28" numFmtId="0" xfId="0" applyFont="1" applyFill="1" applyBorder="1" applyAlignment="1">
      <alignment horizontal="center" vertical="center"/>
    </xf>
    <xf fontId="6" fillId="2" borderId="1" numFmtId="0" xfId="0" applyFont="1" applyFill="1" applyBorder="1" applyAlignment="1">
      <alignment horizontal="center" vertical="center"/>
    </xf>
    <xf fontId="0" fillId="15" borderId="0" numFmtId="0" xfId="0" applyFill="1"/>
    <xf fontId="4" fillId="17" borderId="1" numFmtId="0" xfId="0" applyFont="1" applyFill="1" applyBorder="1" applyAlignment="1">
      <alignment horizontal="center"/>
    </xf>
    <xf fontId="4" fillId="2" borderId="1" numFmtId="161" xfId="0" applyNumberFormat="1" applyFont="1" applyFill="1" applyBorder="1" applyAlignment="1">
      <alignment horizontal="center" vertical="center"/>
    </xf>
    <xf fontId="4" fillId="2" borderId="1" numFmtId="0" xfId="0" applyFont="1" applyFill="1" applyBorder="1" applyAlignment="1">
      <alignment horizontal="center"/>
    </xf>
    <xf fontId="0" fillId="2" borderId="14" numFmtId="0" xfId="0" applyFill="1" applyBorder="1"/>
    <xf fontId="0" fillId="2" borderId="14" numFmtId="161" xfId="0" applyNumberFormat="1" applyFill="1" applyBorder="1" applyAlignment="1" applyProtection="1">
      <alignment horizontal="center"/>
    </xf>
    <xf fontId="12" fillId="2" borderId="14" numFmtId="161" xfId="0" applyNumberFormat="1" applyFont="1" applyFill="1" applyBorder="1" applyAlignment="1" applyProtection="1">
      <alignment vertical="top"/>
    </xf>
    <xf fontId="0" fillId="2" borderId="14" numFmtId="0" xfId="0" applyFill="1" applyBorder="1" applyAlignment="1">
      <alignment horizontal="center"/>
    </xf>
    <xf fontId="6" fillId="2" borderId="12" numFmtId="161" xfId="0" applyNumberFormat="1" applyFont="1" applyFill="1" applyBorder="1"/>
    <xf fontId="6" fillId="2" borderId="1" numFmtId="1" xfId="0" applyNumberFormat="1" applyFont="1" applyFill="1" applyBorder="1"/>
    <xf fontId="6" fillId="2" borderId="1" numFmtId="162" xfId="0" applyNumberFormat="1" applyFont="1" applyFill="1" applyBorder="1"/>
    <xf fontId="6" fillId="2" borderId="1" numFmtId="162" xfId="0" applyNumberFormat="1" applyFont="1" applyFill="1" applyBorder="1" applyAlignment="1">
      <alignment horizontal="right"/>
    </xf>
    <xf fontId="6" fillId="2" borderId="14" numFmtId="0" xfId="0" applyFont="1" applyFill="1" applyBorder="1" applyAlignment="1">
      <alignment horizontal="center" vertical="center"/>
    </xf>
    <xf fontId="0" fillId="2" borderId="13" numFmtId="163" xfId="6" applyNumberFormat="1" applyFill="1" applyBorder="1"/>
    <xf fontId="0" fillId="2" borderId="14" numFmtId="163" xfId="6" applyNumberFormat="1" applyFill="1" applyBorder="1"/>
    <xf fontId="0" fillId="0" borderId="0" numFmtId="0" xfId="0"/>
    <xf fontId="6" fillId="0" borderId="1" numFmtId="1" xfId="0" applyNumberFormat="1" applyFont="1" applyBorder="1"/>
    <xf fontId="6" fillId="0" borderId="1" numFmtId="0" xfId="0" applyFont="1" applyBorder="1"/>
    <xf fontId="6" fillId="2" borderId="8" numFmtId="0" xfId="0" applyFont="1" applyFill="1" applyBorder="1" applyAlignment="1">
      <alignment horizontal="center" vertical="center"/>
    </xf>
    <xf fontId="11" fillId="2" borderId="2" numFmtId="3" xfId="0" applyNumberFormat="1" applyFont="1" applyFill="1" applyBorder="1" applyAlignment="1">
      <alignment horizontal="center"/>
    </xf>
    <xf fontId="11" fillId="2" borderId="30" numFmtId="3" xfId="0" applyNumberFormat="1" applyFont="1" applyFill="1" applyBorder="1" applyAlignment="1">
      <alignment horizontal="center"/>
    </xf>
    <xf fontId="5" fillId="2" borderId="2" numFmtId="1" xfId="0" applyNumberFormat="1" applyFont="1" applyFill="1" applyBorder="1"/>
    <xf fontId="11" fillId="2" borderId="4" numFmtId="3" xfId="0" applyNumberFormat="1" applyFont="1" applyFill="1" applyBorder="1" applyAlignment="1">
      <alignment horizontal="center"/>
    </xf>
    <xf fontId="5" fillId="2" borderId="1" numFmtId="1" xfId="0" applyNumberFormat="1" applyFont="1" applyFill="1" applyBorder="1"/>
    <xf fontId="0" fillId="18" borderId="0" numFmtId="0" xfId="0" applyFill="1"/>
    <xf fontId="6" fillId="2" borderId="5" numFmtId="1" xfId="0" applyNumberFormat="1" applyFont="1" applyFill="1" applyBorder="1" applyAlignment="1">
      <alignment horizontal="center" vertical="center"/>
    </xf>
    <xf fontId="6" fillId="2" borderId="16" numFmtId="1" xfId="0" applyNumberFormat="1" applyFont="1" applyFill="1" applyBorder="1" applyAlignment="1">
      <alignment horizontal="center" vertical="center"/>
    </xf>
    <xf fontId="6" fillId="2" borderId="7" numFmtId="1" xfId="0" applyNumberFormat="1" applyFont="1" applyFill="1" applyBorder="1" applyAlignment="1">
      <alignment horizontal="center"/>
    </xf>
    <xf fontId="6" fillId="2" borderId="9" numFmtId="0" xfId="0" applyFont="1" applyFill="1" applyBorder="1" applyAlignment="1">
      <alignment horizontal="center"/>
    </xf>
    <xf fontId="7" fillId="19" borderId="1" numFmtId="0" xfId="5" applyFont="1" applyFill="1" applyBorder="1"/>
    <xf fontId="11" fillId="2" borderId="1" numFmtId="0" xfId="5" applyFont="1" applyFill="1" applyBorder="1"/>
    <xf fontId="6" fillId="2" borderId="10" numFmtId="0" xfId="0" applyFont="1" applyFill="1" applyBorder="1" applyAlignment="1">
      <alignment horizontal="center"/>
    </xf>
    <xf fontId="6" fillId="2" borderId="12" numFmtId="0" xfId="0" applyFont="1" applyFill="1" applyBorder="1" applyAlignment="1">
      <alignment horizontal="center"/>
    </xf>
    <xf fontId="6" fillId="2" borderId="21" numFmtId="0" xfId="0" applyFont="1" applyFill="1" applyBorder="1" applyAlignment="1">
      <alignment horizontal="center"/>
    </xf>
    <xf fontId="6" fillId="2" borderId="1" numFmtId="0" xfId="0" applyFont="1" applyFill="1" applyBorder="1" applyAlignment="1">
      <alignment horizontal="center" vertical="center" wrapText="1"/>
    </xf>
    <xf fontId="6" fillId="2" borderId="10" numFmtId="0" xfId="0" applyFont="1" applyFill="1" applyBorder="1" applyAlignment="1">
      <alignment horizontal="center" vertical="center" wrapText="1"/>
    </xf>
    <xf fontId="6" fillId="2" borderId="31" numFmtId="0" xfId="0" applyFont="1" applyFill="1" applyBorder="1" applyAlignment="1">
      <alignment horizontal="center"/>
    </xf>
    <xf fontId="6" fillId="2" borderId="10" numFmtId="1" xfId="0" applyNumberFormat="1" applyFont="1" applyFill="1" applyBorder="1" applyAlignment="1">
      <alignment horizontal="center"/>
    </xf>
    <xf fontId="6" fillId="2" borderId="15" numFmtId="0" xfId="0" applyFont="1" applyFill="1" applyBorder="1" applyAlignment="1">
      <alignment horizontal="center"/>
    </xf>
    <xf fontId="6" fillId="2" borderId="6" numFmtId="0" xfId="0" applyFont="1" applyFill="1" applyBorder="1" applyAlignment="1">
      <alignment horizontal="center"/>
    </xf>
    <xf fontId="6" fillId="2" borderId="10" numFmtId="0" xfId="0" applyFont="1" applyFill="1" applyBorder="1" applyAlignment="1">
      <alignment horizontal="center" vertical="center"/>
    </xf>
    <xf fontId="6" fillId="2" borderId="21" numFmtId="0" xfId="0" applyFont="1" applyFill="1" applyBorder="1" applyAlignment="1">
      <alignment horizontal="center" vertical="center"/>
    </xf>
    <xf fontId="11" fillId="2" borderId="13" numFmtId="0" xfId="5" applyFont="1" applyFill="1" applyBorder="1"/>
    <xf fontId="6" fillId="2" borderId="18" numFmtId="0" xfId="0" applyFont="1" applyFill="1" applyBorder="1" applyAlignment="1">
      <alignment horizontal="center" vertical="center" wrapText="1"/>
    </xf>
    <xf fontId="6" fillId="2" borderId="17" numFmtId="0" xfId="0" applyFont="1" applyFill="1" applyBorder="1" applyAlignment="1">
      <alignment horizontal="center" vertical="center" wrapText="1"/>
    </xf>
    <xf fontId="6" fillId="2" borderId="18" numFmtId="1" xfId="0" applyNumberFormat="1" applyFont="1" applyFill="1" applyBorder="1" applyAlignment="1">
      <alignment horizontal="center" vertical="center"/>
    </xf>
    <xf fontId="6" fillId="2" borderId="21" numFmtId="1" xfId="0" applyNumberFormat="1" applyFont="1" applyFill="1" applyBorder="1" applyAlignment="1">
      <alignment horizontal="center" vertical="center"/>
    </xf>
    <xf fontId="6" fillId="2" borderId="17" numFmtId="1" xfId="0" applyNumberFormat="1" applyFont="1" applyFill="1" applyBorder="1" applyAlignment="1">
      <alignment horizontal="center"/>
    </xf>
    <xf fontId="6" fillId="0" borderId="0" numFmtId="161" xfId="0" applyNumberFormat="1" applyFont="1" applyAlignment="1">
      <alignment horizontal="center" vertical="center"/>
    </xf>
    <xf fontId="0" fillId="0" borderId="2" numFmtId="0" xfId="0" applyBorder="1"/>
    <xf fontId="6" fillId="2" borderId="3" numFmtId="0" xfId="0" applyFont="1" applyFill="1" applyBorder="1" applyAlignment="1">
      <alignment horizontal="center" vertical="center"/>
    </xf>
    <xf fontId="6" fillId="2" borderId="4" numFmtId="0" xfId="0" applyFont="1" applyFill="1" applyBorder="1" applyAlignment="1">
      <alignment horizontal="center" vertical="center"/>
    </xf>
    <xf fontId="0" fillId="0" borderId="1" numFmtId="0" xfId="0" applyBorder="1"/>
    <xf fontId="0" fillId="0" borderId="2" numFmtId="0" xfId="0" applyBorder="1" applyAlignment="1">
      <alignment horizontal="center"/>
    </xf>
    <xf fontId="6" fillId="0" borderId="0" numFmtId="0" xfId="0" applyFont="1" applyAlignment="1">
      <alignment horizontal="center" vertical="center"/>
    </xf>
    <xf fontId="0" fillId="0" borderId="3" numFmtId="0" xfId="0" applyBorder="1" applyAlignment="1">
      <alignment horizontal="center"/>
    </xf>
    <xf fontId="0" fillId="0" borderId="1" numFmtId="0" xfId="0" applyBorder="1" applyAlignment="1">
      <alignment horizontal="center"/>
    </xf>
    <xf fontId="6" fillId="2" borderId="6" numFmtId="0" xfId="0" applyFont="1" applyFill="1" applyBorder="1" applyAlignment="1">
      <alignment horizontal="center" vertical="center"/>
    </xf>
    <xf fontId="7" fillId="19" borderId="2" numFmtId="0" xfId="5" applyFont="1" applyFill="1" applyBorder="1"/>
    <xf fontId="11" fillId="19" borderId="2" numFmtId="0" xfId="5" applyFont="1" applyFill="1" applyBorder="1"/>
    <xf fontId="7" fillId="19" borderId="28" numFmtId="0" xfId="5" applyFont="1" applyFill="1" applyBorder="1"/>
    <xf fontId="7" fillId="19" borderId="9" numFmtId="0" xfId="5" applyFont="1" applyFill="1" applyBorder="1"/>
    <xf fontId="7" fillId="19" borderId="23" numFmtId="0" xfId="5" applyFont="1" applyFill="1" applyBorder="1"/>
    <xf fontId="7" fillId="19" borderId="7" numFmtId="0" xfId="5" applyFont="1" applyFill="1" applyBorder="1"/>
    <xf fontId="7" fillId="19" borderId="31" numFmtId="161" xfId="5" applyNumberFormat="1" applyFont="1" applyFill="1" applyBorder="1"/>
    <xf fontId="7" fillId="19" borderId="21" numFmtId="161" xfId="5" applyNumberFormat="1" applyFont="1" applyFill="1" applyBorder="1"/>
    <xf fontId="6" fillId="19" borderId="1" numFmtId="1" xfId="0" applyNumberFormat="1" applyFont="1" applyFill="1" applyBorder="1" applyAlignment="1">
      <alignment horizontal="center"/>
    </xf>
    <xf fontId="7" fillId="19" borderId="31" numFmtId="0" xfId="5" applyFont="1" applyFill="1" applyBorder="1"/>
    <xf fontId="7" fillId="19" borderId="1" numFmtId="0" xfId="5" applyFont="1" applyFill="1" applyBorder="1" applyAlignment="1">
      <alignment horizontal="center"/>
    </xf>
    <xf fontId="7" fillId="19" borderId="0" numFmtId="0" xfId="5" applyFont="1" applyFill="1" applyAlignment="1">
      <alignment horizontal="center"/>
    </xf>
    <xf fontId="7" fillId="19" borderId="23" numFmtId="0" xfId="5" applyFont="1" applyFill="1" applyBorder="1" applyAlignment="1">
      <alignment horizontal="center"/>
    </xf>
    <xf fontId="7" fillId="19" borderId="9" numFmtId="0" xfId="5" applyFont="1" applyFill="1" applyBorder="1" applyAlignment="1">
      <alignment horizontal="center" vertical="center"/>
    </xf>
    <xf fontId="7" fillId="19" borderId="23" numFmtId="0" xfId="5" applyFont="1" applyFill="1" applyBorder="1" applyAlignment="1">
      <alignment horizontal="center" vertical="center"/>
    </xf>
    <xf fontId="7" fillId="19" borderId="1" numFmtId="0" xfId="5" applyFont="1" applyFill="1" applyBorder="1" applyAlignment="1">
      <alignment horizontal="center" vertical="center"/>
    </xf>
    <xf fontId="7" fillId="19" borderId="0" numFmtId="0" xfId="5" applyFont="1" applyFill="1" applyAlignment="1">
      <alignment horizontal="center" vertical="center"/>
    </xf>
    <xf fontId="7" fillId="19" borderId="32" numFmtId="0" xfId="5" applyFont="1" applyFill="1" applyBorder="1" applyAlignment="1">
      <alignment horizontal="center"/>
    </xf>
    <xf fontId="7" fillId="19" borderId="9" numFmtId="0" xfId="5" applyFont="1" applyFill="1" applyBorder="1" applyAlignment="1">
      <alignment horizontal="center"/>
    </xf>
    <xf fontId="7" fillId="19" borderId="2" numFmtId="0" xfId="5" applyFont="1" applyFill="1" applyBorder="1" applyAlignment="1">
      <alignment horizontal="center"/>
    </xf>
    <xf fontId="7" fillId="19" borderId="8" numFmtId="0" xfId="5" applyFont="1" applyFill="1" applyBorder="1" applyAlignment="1">
      <alignment horizontal="center"/>
    </xf>
    <xf fontId="7" fillId="19" borderId="24" numFmtId="0" xfId="5" applyFont="1" applyFill="1" applyBorder="1" applyAlignment="1">
      <alignment horizontal="center"/>
    </xf>
    <xf fontId="7" fillId="19" borderId="31" numFmtId="0" xfId="5" applyFont="1" applyFill="1" applyBorder="1" applyAlignment="1">
      <alignment horizontal="center" vertical="center"/>
    </xf>
    <xf fontId="7" fillId="19" borderId="24" numFmtId="0" xfId="5" applyFont="1" applyFill="1" applyBorder="1" applyAlignment="1">
      <alignment horizontal="center" vertical="center"/>
    </xf>
    <xf fontId="7" fillId="19" borderId="5" numFmtId="0" xfId="5" applyFont="1" applyFill="1" applyBorder="1"/>
    <xf fontId="11" fillId="2" borderId="10" numFmtId="0" xfId="5" applyFont="1" applyFill="1" applyBorder="1"/>
    <xf fontId="11" fillId="2" borderId="16" numFmtId="0" xfId="0" applyFont="1" applyFill="1" applyBorder="1" applyAlignment="1">
      <alignment horizontal="center"/>
    </xf>
    <xf fontId="6" fillId="2" borderId="1" numFmtId="161" xfId="0" applyNumberFormat="1" applyFont="1" applyFill="1" applyBorder="1"/>
    <xf fontId="6" fillId="2" borderId="33" numFmtId="162" xfId="0" applyNumberFormat="1" applyFont="1" applyFill="1" applyBorder="1"/>
    <xf fontId="6" fillId="2" borderId="0" numFmtId="162" xfId="0" applyNumberFormat="1" applyFont="1" applyFill="1"/>
    <xf fontId="6" fillId="2" borderId="14" numFmtId="161" xfId="0" applyNumberFormat="1" applyFont="1" applyFill="1" applyBorder="1" applyAlignment="1">
      <alignment horizontal="center" vertical="center"/>
    </xf>
    <xf fontId="6" fillId="0" borderId="0" numFmtId="0" xfId="0" applyFont="1" applyAlignment="1">
      <alignment horizontal="center"/>
    </xf>
    <xf fontId="6" fillId="2" borderId="16" numFmtId="0" xfId="0" applyFont="1" applyFill="1" applyBorder="1" applyAlignment="1">
      <alignment horizontal="center"/>
    </xf>
    <xf fontId="0" fillId="0" borderId="14" numFmtId="161" xfId="0" applyNumberFormat="1" applyBorder="1" applyAlignment="1">
      <alignment horizontal="center"/>
    </xf>
    <xf fontId="0" fillId="2" borderId="3" numFmtId="0" xfId="0" applyFill="1" applyBorder="1" applyAlignment="1">
      <alignment horizontal="center"/>
    </xf>
    <xf fontId="0" fillId="2" borderId="1" numFmtId="0" xfId="0" applyFill="1" applyBorder="1" applyAlignment="1">
      <alignment horizontal="center"/>
    </xf>
    <xf fontId="6" fillId="2" borderId="1" numFmtId="161" xfId="0" applyNumberFormat="1" applyFont="1" applyFill="1" applyBorder="1" applyAlignment="1">
      <alignment horizontal="center" vertical="center"/>
    </xf>
    <xf fontId="0" fillId="0" borderId="13" numFmtId="0" xfId="0" applyBorder="1"/>
    <xf fontId="0" fillId="0" borderId="13" numFmtId="0" xfId="0" applyBorder="1" applyAlignment="1">
      <alignment horizontal="center"/>
    </xf>
    <xf fontId="6" fillId="2" borderId="17" numFmtId="0" xfId="0" applyFont="1" applyFill="1" applyBorder="1" applyAlignment="1">
      <alignment horizontal="center"/>
    </xf>
    <xf fontId="11" fillId="2" borderId="13" numFmtId="3" xfId="0" applyNumberFormat="1" applyFont="1" applyFill="1" applyBorder="1" applyAlignment="1">
      <alignment horizontal="center"/>
    </xf>
    <xf fontId="11" fillId="2" borderId="34" numFmtId="3" xfId="0" applyNumberFormat="1" applyFont="1" applyFill="1" applyBorder="1" applyAlignment="1">
      <alignment horizontal="center"/>
    </xf>
    <xf fontId="6" fillId="2" borderId="35" numFmtId="0" xfId="0" applyFont="1" applyFill="1" applyBorder="1" applyAlignment="1">
      <alignment horizontal="center"/>
    </xf>
    <xf fontId="13" fillId="0" borderId="18" numFmtId="0" xfId="0" applyFont="1" applyBorder="1"/>
    <xf fontId="5" fillId="2" borderId="5" numFmtId="0" xfId="0" applyFont="1" applyFill="1" applyBorder="1" applyAlignment="1">
      <alignment horizontal="center"/>
    </xf>
    <xf fontId="5" fillId="2" borderId="7" numFmtId="0" xfId="0" applyFont="1" applyFill="1" applyBorder="1" applyAlignment="1">
      <alignment horizontal="center"/>
    </xf>
    <xf fontId="5" fillId="8" borderId="15" numFmtId="0" xfId="0" applyFont="1" applyFill="1" applyBorder="1" applyAlignment="1">
      <alignment horizontal="center"/>
    </xf>
    <xf fontId="5" fillId="8" borderId="18" numFmtId="0" xfId="0" applyFont="1" applyFill="1" applyBorder="1" applyAlignment="1">
      <alignment horizontal="center"/>
    </xf>
    <xf fontId="8" fillId="10" borderId="36" numFmtId="0" xfId="0" applyFont="1" applyFill="1" applyBorder="1" applyAlignment="1">
      <alignment vertical="center" wrapText="1"/>
    </xf>
    <xf fontId="8" fillId="10" borderId="37" numFmtId="0" xfId="0" applyFont="1" applyFill="1" applyBorder="1" applyAlignment="1">
      <alignment vertical="center" wrapText="1"/>
    </xf>
    <xf fontId="5" fillId="5" borderId="38" numFmtId="0" xfId="0" applyFont="1" applyFill="1" applyBorder="1" applyAlignment="1">
      <alignment horizontal="center" vertical="center" wrapText="1"/>
    </xf>
    <xf fontId="5" fillId="5" borderId="12" numFmtId="0" xfId="0" applyFont="1" applyFill="1" applyBorder="1" applyAlignment="1">
      <alignment horizontal="center" vertical="center" wrapText="1"/>
    </xf>
    <xf fontId="5" fillId="5" borderId="39" numFmtId="0" xfId="0" applyFont="1" applyFill="1" applyBorder="1" applyAlignment="1">
      <alignment horizontal="center" vertical="center" wrapText="1"/>
    </xf>
    <xf fontId="5" fillId="12" borderId="38" numFmtId="0" xfId="0" applyFont="1" applyFill="1" applyBorder="1" applyAlignment="1">
      <alignment horizontal="center" vertical="center" wrapText="1"/>
    </xf>
    <xf fontId="5" fillId="12" borderId="10" numFmtId="0" xfId="0" applyFont="1" applyFill="1" applyBorder="1" applyAlignment="1">
      <alignment horizontal="center" vertical="center" wrapText="1"/>
    </xf>
    <xf fontId="5" fillId="12" borderId="12" numFmtId="0" xfId="0" applyFont="1" applyFill="1" applyBorder="1" applyAlignment="1">
      <alignment horizontal="center" vertical="center" wrapText="1"/>
    </xf>
    <xf fontId="5" fillId="7" borderId="39" numFmtId="0" xfId="0" applyFont="1" applyFill="1" applyBorder="1" applyAlignment="1">
      <alignment horizontal="center" vertical="center" wrapText="1"/>
    </xf>
    <xf fontId="5" fillId="7" borderId="38" numFmtId="0" xfId="0" applyFont="1" applyFill="1" applyBorder="1" applyAlignment="1">
      <alignment horizontal="center" vertical="center" wrapText="1"/>
    </xf>
    <xf fontId="5" fillId="7" borderId="10" numFmtId="0" xfId="0" applyFont="1" applyFill="1" applyBorder="1" applyAlignment="1">
      <alignment horizontal="center" vertical="center" wrapText="1"/>
    </xf>
    <xf fontId="5" fillId="7" borderId="11" numFmtId="0" xfId="0" applyFont="1" applyFill="1" applyBorder="1" applyAlignment="1">
      <alignment horizontal="center" vertical="center" wrapText="1"/>
    </xf>
    <xf fontId="5" fillId="7" borderId="12" numFmtId="0" xfId="0" applyFont="1" applyFill="1" applyBorder="1" applyAlignment="1">
      <alignment horizontal="center" vertical="center" wrapText="1"/>
    </xf>
    <xf fontId="5" fillId="13" borderId="28" numFmtId="0" xfId="0" applyFont="1" applyFill="1" applyBorder="1" applyAlignment="1">
      <alignment horizontal="center" vertical="center" wrapText="1"/>
    </xf>
    <xf fontId="5" fillId="14" borderId="38" numFmtId="0" xfId="0" applyFont="1" applyFill="1" applyBorder="1" applyAlignment="1">
      <alignment horizontal="center" vertical="center" wrapText="1"/>
    </xf>
    <xf fontId="5" fillId="14" borderId="39" numFmtId="0" xfId="0" applyFont="1" applyFill="1" applyBorder="1" applyAlignment="1">
      <alignment horizontal="center" vertical="center" wrapText="1"/>
    </xf>
    <xf fontId="5" fillId="14" borderId="29" numFmtId="0" xfId="0" applyFont="1" applyFill="1" applyBorder="1" applyAlignment="1">
      <alignment horizontal="center" vertical="center" wrapText="1"/>
    </xf>
    <xf fontId="5" fillId="14" borderId="28" numFmtId="0" xfId="0" applyFont="1" applyFill="1" applyBorder="1" applyAlignment="1">
      <alignment horizontal="center" vertical="center" wrapText="1"/>
    </xf>
    <xf fontId="5" fillId="20" borderId="3" numFmtId="0" xfId="0" applyFont="1" applyFill="1" applyBorder="1" applyAlignment="1">
      <alignment horizontal="center" vertical="center" wrapText="1"/>
    </xf>
    <xf fontId="5" fillId="20" borderId="6" numFmtId="0" xfId="0" applyFont="1" applyFill="1" applyBorder="1" applyAlignment="1">
      <alignment horizontal="center" vertical="center" wrapText="1"/>
    </xf>
    <xf fontId="8" fillId="10" borderId="40" numFmtId="0" xfId="0" applyFont="1" applyFill="1" applyBorder="1" applyAlignment="1">
      <alignment horizontal="center" vertical="center" wrapText="1"/>
    </xf>
    <xf fontId="9" fillId="5" borderId="41" numFmtId="0" xfId="0" applyFont="1" applyFill="1" applyBorder="1" applyAlignment="1">
      <alignment horizontal="center" vertical="top" wrapText="1"/>
    </xf>
    <xf fontId="9" fillId="6" borderId="19" numFmtId="0" xfId="0" applyFont="1" applyFill="1" applyBorder="1" applyAlignment="1">
      <alignment horizontal="center" vertical="top" wrapText="1"/>
    </xf>
    <xf fontId="9" fillId="6" borderId="26" numFmtId="0" xfId="0" applyFont="1" applyFill="1" applyBorder="1" applyAlignment="1">
      <alignment horizontal="center" vertical="top" wrapText="1"/>
    </xf>
    <xf fontId="9" fillId="6" borderId="41" numFmtId="0" xfId="0" applyFont="1" applyFill="1" applyBorder="1" applyAlignment="1">
      <alignment horizontal="center" vertical="top" wrapText="1"/>
    </xf>
    <xf fontId="10" fillId="6" borderId="27" numFmtId="0" xfId="0" applyFont="1" applyFill="1" applyBorder="1" applyAlignment="1">
      <alignment horizontal="center" vertical="top" wrapText="1"/>
    </xf>
    <xf fontId="9" fillId="6" borderId="41" numFmtId="0" xfId="0" applyFont="1" applyFill="1" applyBorder="1" applyAlignment="1">
      <alignment horizontal="center" vertical="top"/>
    </xf>
    <xf fontId="9" fillId="7" borderId="41" numFmtId="0" xfId="0" applyFont="1" applyFill="1" applyBorder="1" applyAlignment="1">
      <alignment horizontal="center" vertical="top" wrapText="1"/>
    </xf>
    <xf fontId="9" fillId="7" borderId="42" numFmtId="0" xfId="0" applyFont="1" applyFill="1" applyBorder="1" applyAlignment="1">
      <alignment horizontal="center" vertical="top" wrapText="1"/>
    </xf>
    <xf fontId="9" fillId="7" borderId="43" numFmtId="0" xfId="0" applyFont="1" applyFill="1" applyBorder="1" applyAlignment="1">
      <alignment horizontal="center" vertical="top" wrapText="1"/>
    </xf>
    <xf fontId="9" fillId="7" borderId="43" numFmtId="49" xfId="0" applyNumberFormat="1" applyFont="1" applyFill="1" applyBorder="1" applyAlignment="1">
      <alignment horizontal="center" vertical="top" wrapText="1"/>
    </xf>
    <xf fontId="9" fillId="7" borderId="44" numFmtId="0" xfId="0" applyFont="1" applyFill="1" applyBorder="1" applyAlignment="1">
      <alignment horizontal="center" vertical="top" wrapText="1"/>
    </xf>
    <xf fontId="5" fillId="7" borderId="41" numFmtId="0" xfId="0" applyFont="1" applyFill="1" applyBorder="1" applyAlignment="1">
      <alignment horizontal="center" vertical="top" wrapText="1"/>
    </xf>
    <xf fontId="9" fillId="8" borderId="19" numFmtId="0" xfId="0" applyFont="1" applyFill="1" applyBorder="1" applyAlignment="1">
      <alignment horizontal="center" vertical="top" wrapText="1"/>
    </xf>
    <xf fontId="9" fillId="8" borderId="26" numFmtId="0" xfId="0" applyFont="1" applyFill="1" applyBorder="1" applyAlignment="1">
      <alignment horizontal="center" vertical="top" wrapText="1"/>
    </xf>
    <xf fontId="9" fillId="8" borderId="42" numFmtId="0" xfId="0" applyFont="1" applyFill="1" applyBorder="1" applyAlignment="1">
      <alignment horizontal="center" vertical="top" wrapText="1"/>
    </xf>
    <xf fontId="9" fillId="8" borderId="45" numFmtId="0" xfId="0" applyFont="1" applyFill="1" applyBorder="1" applyAlignment="1">
      <alignment horizontal="center" vertical="top" wrapText="1"/>
    </xf>
    <xf fontId="9" fillId="8" borderId="20" numFmtId="0" xfId="0" applyFont="1" applyFill="1" applyBorder="1" applyAlignment="1">
      <alignment horizontal="center" vertical="top" wrapText="1"/>
    </xf>
    <xf fontId="10" fillId="8" borderId="43" numFmtId="0" xfId="0" applyFont="1" applyFill="1" applyBorder="1" applyAlignment="1">
      <alignment horizontal="center" vertical="top" wrapText="1"/>
    </xf>
    <xf fontId="9" fillId="8" borderId="43" numFmtId="0" xfId="0" applyFont="1" applyFill="1" applyBorder="1" applyAlignment="1">
      <alignment horizontal="center" vertical="top" wrapText="1"/>
    </xf>
    <xf fontId="9" fillId="14" borderId="25" numFmtId="0" xfId="0" applyFont="1" applyFill="1" applyBorder="1" applyAlignment="1">
      <alignment horizontal="center" vertical="top" wrapText="1"/>
    </xf>
    <xf fontId="9" fillId="10" borderId="41" numFmtId="0" xfId="0" applyFont="1" applyFill="1" applyBorder="1" applyAlignment="1">
      <alignment horizontal="center" vertical="top"/>
    </xf>
    <xf fontId="0" fillId="21" borderId="0" numFmtId="0" xfId="0" applyFill="1"/>
    <xf fontId="11" fillId="21" borderId="14" numFmtId="0" xfId="5" applyFont="1" applyFill="1" applyBorder="1"/>
    <xf fontId="6" fillId="21" borderId="14" numFmtId="0" xfId="0" applyFont="1" applyFill="1" applyBorder="1" applyAlignment="1">
      <alignment horizontal="center"/>
    </xf>
    <xf fontId="11" fillId="21" borderId="14" numFmtId="0" xfId="0" applyFont="1" applyFill="1" applyBorder="1" applyAlignment="1">
      <alignment horizontal="center"/>
    </xf>
    <xf fontId="6" fillId="21" borderId="40" numFmtId="0" xfId="0" applyFont="1" applyFill="1" applyBorder="1" applyAlignment="1">
      <alignment horizontal="center"/>
    </xf>
    <xf fontId="6" fillId="21" borderId="1" numFmtId="161" xfId="0" applyNumberFormat="1" applyFont="1" applyFill="1" applyBorder="1" applyAlignment="1">
      <alignment horizontal="center"/>
    </xf>
    <xf fontId="6" fillId="21" borderId="46" numFmtId="0" xfId="0" applyFont="1" applyFill="1" applyBorder="1" applyAlignment="1">
      <alignment horizontal="center" vertical="center" wrapText="1"/>
    </xf>
    <xf fontId="6" fillId="21" borderId="1" numFmtId="161" xfId="0" applyNumberFormat="1" applyFont="1" applyFill="1" applyBorder="1" applyAlignment="1">
      <alignment horizontal="center" vertical="center"/>
    </xf>
    <xf fontId="6" fillId="21" borderId="39" numFmtId="0" xfId="0" applyFont="1" applyFill="1" applyBorder="1" applyAlignment="1">
      <alignment horizontal="center" vertical="center" wrapText="1"/>
    </xf>
    <xf fontId="6" fillId="21" borderId="10" numFmtId="161" xfId="0" applyNumberFormat="1" applyFont="1" applyFill="1" applyBorder="1" applyAlignment="1">
      <alignment horizontal="center"/>
    </xf>
    <xf fontId="6" fillId="21" borderId="3" numFmtId="0" xfId="0" applyFont="1" applyFill="1" applyBorder="1" applyAlignment="1">
      <alignment horizontal="center"/>
    </xf>
    <xf fontId="6" fillId="21" borderId="26" numFmtId="1" xfId="0" applyNumberFormat="1" applyFont="1" applyFill="1" applyBorder="1" applyAlignment="1">
      <alignment horizontal="center"/>
    </xf>
    <xf fontId="0" fillId="21" borderId="14" numFmtId="0" xfId="0" applyFill="1" applyBorder="1" applyAlignment="1">
      <alignment horizontal="center"/>
    </xf>
    <xf fontId="6" fillId="21" borderId="40" numFmtId="161" xfId="0" applyNumberFormat="1" applyFont="1" applyFill="1" applyBorder="1"/>
    <xf fontId="6" fillId="21" borderId="1" numFmtId="161" xfId="0" applyNumberFormat="1" applyFont="1" applyFill="1" applyBorder="1"/>
    <xf fontId="6" fillId="21" borderId="46" numFmtId="0" xfId="0" applyFont="1" applyFill="1" applyBorder="1" applyAlignment="1">
      <alignment horizontal="center"/>
    </xf>
    <xf fontId="6" fillId="21" borderId="1" numFmtId="3" xfId="0" applyNumberFormat="1" applyFont="1" applyFill="1" applyBorder="1"/>
    <xf fontId="6" fillId="21" borderId="46" numFmtId="1" xfId="0" applyNumberFormat="1" applyFont="1" applyFill="1" applyBorder="1" applyAlignment="1">
      <alignment horizontal="center" vertical="center"/>
    </xf>
    <xf fontId="6" fillId="21" borderId="1" numFmtId="1" xfId="0" applyNumberFormat="1" applyFont="1" applyFill="1" applyBorder="1" applyAlignment="1">
      <alignment horizontal="center" vertical="center"/>
    </xf>
    <xf fontId="6" fillId="21" borderId="1" numFmtId="162" xfId="0" applyNumberFormat="1" applyFont="1" applyFill="1" applyBorder="1"/>
    <xf fontId="6" fillId="21" borderId="22" numFmtId="1" xfId="0" applyNumberFormat="1" applyFont="1" applyFill="1" applyBorder="1" applyAlignment="1">
      <alignment horizontal="center"/>
    </xf>
    <xf fontId="6" fillId="21" borderId="14" numFmtId="161" xfId="0" applyNumberFormat="1" applyFont="1" applyFill="1" applyBorder="1" applyAlignment="1">
      <alignment horizontal="center" vertical="center"/>
    </xf>
    <xf fontId="6" fillId="21" borderId="47" numFmtId="0" xfId="0" applyFont="1" applyFill="1" applyBorder="1" applyAlignment="1">
      <alignment horizontal="center"/>
    </xf>
    <xf fontId="6" fillId="21" borderId="10" numFmtId="3" xfId="0" applyNumberFormat="1" applyFont="1" applyFill="1" applyBorder="1"/>
    <xf fontId="6" fillId="21" borderId="41" numFmtId="0" xfId="0" applyFont="1" applyFill="1" applyBorder="1" applyAlignment="1">
      <alignment horizontal="center"/>
    </xf>
    <xf fontId="6" fillId="21" borderId="41" numFmtId="0" xfId="0" applyFont="1" applyFill="1" applyBorder="1" applyAlignment="1">
      <alignment horizontal="center" vertical="center"/>
    </xf>
    <xf fontId="6" fillId="21" borderId="41" numFmtId="1" xfId="0" applyNumberFormat="1" applyFont="1" applyFill="1" applyBorder="1" applyAlignment="1">
      <alignment horizontal="center"/>
    </xf>
    <xf fontId="6" fillId="21" borderId="40" numFmtId="0" xfId="0" applyFont="1" applyFill="1" applyBorder="1" applyAlignment="1">
      <alignment horizontal="center" vertical="center"/>
    </xf>
    <xf fontId="6" fillId="21" borderId="1" numFmtId="0" xfId="0" applyFont="1" applyFill="1" applyBorder="1" applyAlignment="1">
      <alignment horizontal="center"/>
    </xf>
    <xf fontId="6" fillId="21" borderId="43" numFmtId="0" xfId="0" applyFont="1" applyFill="1" applyBorder="1" applyAlignment="1">
      <alignment horizontal="center" vertical="center"/>
    </xf>
    <xf fontId="6" fillId="21" borderId="44" numFmtId="0" xfId="0" applyFont="1" applyFill="1" applyBorder="1" applyAlignment="1">
      <alignment horizontal="center" vertical="center"/>
    </xf>
    <xf fontId="11" fillId="21" borderId="14" numFmtId="3" xfId="0" applyNumberFormat="1" applyFont="1" applyFill="1" applyBorder="1" applyAlignment="1">
      <alignment horizontal="center"/>
    </xf>
    <xf fontId="11" fillId="21" borderId="20" numFmtId="3" xfId="0" applyNumberFormat="1" applyFont="1" applyFill="1" applyBorder="1" applyAlignment="1">
      <alignment horizontal="center"/>
    </xf>
    <xf fontId="11" fillId="21" borderId="48" numFmtId="3" xfId="0" applyNumberFormat="1" applyFont="1" applyFill="1" applyBorder="1" applyAlignment="1">
      <alignment horizontal="center"/>
    </xf>
    <xf fontId="6" fillId="21" borderId="22" numFmtId="0" xfId="0" applyFont="1" applyFill="1" applyBorder="1" applyAlignment="1">
      <alignment horizontal="center"/>
    </xf>
    <xf fontId="6" fillId="21" borderId="14" numFmtId="161" xfId="0" applyNumberFormat="1" applyFont="1" applyFill="1" applyBorder="1" applyAlignment="1">
      <alignment horizontal="center"/>
    </xf>
    <xf fontId="5" fillId="21" borderId="14" numFmtId="1" xfId="0" applyNumberFormat="1" applyFont="1" applyFill="1" applyBorder="1"/>
    <xf fontId="6" fillId="21" borderId="1" numFmtId="162" xfId="0" applyNumberFormat="1" applyFont="1" applyFill="1" applyBorder="1" applyAlignment="1">
      <alignment horizontal="right"/>
    </xf>
    <xf fontId="6" fillId="21" borderId="14" numFmtId="0" xfId="0" applyFont="1" applyFill="1" applyBorder="1" applyAlignment="1">
      <alignment horizontal="center" vertical="center"/>
    </xf>
    <xf fontId="6" fillId="21" borderId="46" numFmtId="0" xfId="0" applyFont="1" applyFill="1" applyBorder="1" applyAlignment="1">
      <alignment horizontal="center" vertical="center"/>
    </xf>
    <xf fontId="6" fillId="21" borderId="22" numFmtId="0" xfId="0" applyFont="1" applyFill="1" applyBorder="1" applyAlignment="1">
      <alignment horizontal="center" vertical="center"/>
    </xf>
    <xf fontId="11" fillId="21" borderId="1" numFmtId="3" xfId="0" applyNumberFormat="1" applyFont="1" applyFill="1" applyBorder="1" applyAlignment="1">
      <alignment horizontal="center"/>
    </xf>
    <xf fontId="11" fillId="21" borderId="19" numFmtId="0" xfId="5" applyFont="1" applyFill="1" applyBorder="1"/>
    <xf fontId="6" fillId="21" borderId="19" numFmtId="0" xfId="0" applyFont="1" applyFill="1" applyBorder="1" applyAlignment="1">
      <alignment horizontal="center"/>
    </xf>
    <xf fontId="6" fillId="21" borderId="48" numFmtId="0" xfId="0" applyFont="1" applyFill="1" applyBorder="1" applyAlignment="1">
      <alignment horizontal="center" vertical="center" wrapText="1"/>
    </xf>
    <xf fontId="6" fillId="21" borderId="49" numFmtId="0" xfId="0" applyFont="1" applyFill="1" applyBorder="1" applyAlignment="1">
      <alignment horizontal="center" vertical="center" wrapText="1"/>
    </xf>
    <xf fontId="6" fillId="21" borderId="50" numFmtId="0" xfId="0" applyFont="1" applyFill="1" applyBorder="1" applyAlignment="1">
      <alignment horizontal="center"/>
    </xf>
    <xf fontId="6" fillId="21" borderId="19" numFmtId="0" xfId="0" applyFont="1" applyFill="1" applyBorder="1" applyAlignment="1">
      <alignment horizontal="center" vertical="center"/>
    </xf>
    <xf fontId="6" fillId="21" borderId="14" numFmtId="1" xfId="0" applyNumberFormat="1" applyFont="1" applyFill="1" applyBorder="1" applyAlignment="1">
      <alignment horizontal="center"/>
    </xf>
    <xf fontId="6" fillId="21" borderId="48" numFmtId="0" xfId="0" applyFont="1" applyFill="1" applyBorder="1" applyAlignment="1">
      <alignment horizontal="center" vertical="center"/>
    </xf>
    <xf fontId="6" fillId="21" borderId="45" numFmtId="0" xfId="0" applyFont="1" applyFill="1" applyBorder="1" applyAlignment="1">
      <alignment horizontal="center" vertical="center"/>
    </xf>
    <xf fontId="11" fillId="21" borderId="44" numFmtId="0" xfId="5" applyFont="1" applyFill="1" applyBorder="1"/>
    <xf fontId="6" fillId="21" borderId="43" numFmtId="0" xfId="0" applyFont="1" applyFill="1" applyBorder="1" applyAlignment="1">
      <alignment horizontal="center" vertical="center" wrapText="1"/>
    </xf>
    <xf fontId="6" fillId="21" borderId="51" numFmtId="0" xfId="0" applyFont="1" applyFill="1" applyBorder="1" applyAlignment="1">
      <alignment horizontal="center" vertical="center" wrapText="1"/>
    </xf>
    <xf fontId="6" fillId="21" borderId="26" numFmtId="0" xfId="0" applyFont="1" applyFill="1" applyBorder="1" applyAlignment="1">
      <alignment horizontal="center" vertical="center"/>
    </xf>
    <xf fontId="6" fillId="21" borderId="1" numFmtId="0" xfId="0" applyFont="1" applyFill="1" applyBorder="1" applyAlignment="1">
      <alignment horizontal="center" vertical="center"/>
    </xf>
    <xf fontId="6" fillId="21" borderId="25" numFmtId="0" xfId="0" applyFont="1" applyFill="1" applyBorder="1" applyAlignment="1">
      <alignment horizontal="center" vertical="center"/>
    </xf>
    <xf fontId="6" fillId="21" borderId="20" numFmtId="0" xfId="0" applyFont="1" applyFill="1" applyBorder="1" applyAlignment="1">
      <alignment horizontal="center" vertical="center"/>
    </xf>
    <xf fontId="6" fillId="2" borderId="40" numFmtId="0" xfId="0" applyFont="1" applyFill="1" applyBorder="1" applyAlignment="1">
      <alignment horizontal="center"/>
    </xf>
    <xf fontId="6" fillId="0" borderId="1" numFmtId="161" xfId="0" applyNumberFormat="1" applyFont="1" applyBorder="1" applyAlignment="1">
      <alignment horizontal="center"/>
    </xf>
    <xf fontId="6" fillId="2" borderId="46" numFmtId="0" xfId="0" applyFont="1" applyFill="1" applyBorder="1" applyAlignment="1">
      <alignment horizontal="center" vertical="center" wrapText="1"/>
    </xf>
    <xf fontId="6" fillId="0" borderId="1" numFmtId="161" xfId="0" applyNumberFormat="1" applyFont="1" applyBorder="1" applyAlignment="1">
      <alignment horizontal="center" vertical="center"/>
    </xf>
    <xf fontId="6" fillId="2" borderId="39" numFmtId="0" xfId="0" applyFont="1" applyFill="1" applyBorder="1" applyAlignment="1">
      <alignment horizontal="center" vertical="center" wrapText="1"/>
    </xf>
    <xf fontId="6" fillId="0" borderId="10" numFmtId="161" xfId="0" applyNumberFormat="1" applyFont="1" applyBorder="1" applyAlignment="1">
      <alignment horizontal="center"/>
    </xf>
    <xf fontId="6" fillId="2" borderId="26" numFmtId="1" xfId="0" applyNumberFormat="1" applyFont="1" applyFill="1" applyBorder="1" applyAlignment="1">
      <alignment horizontal="center"/>
    </xf>
    <xf fontId="6" fillId="0" borderId="40" numFmtId="161" xfId="0" applyNumberFormat="1" applyFont="1" applyBorder="1"/>
    <xf fontId="6" fillId="2" borderId="46" numFmtId="0" xfId="0" applyFont="1" applyFill="1" applyBorder="1" applyAlignment="1">
      <alignment horizontal="center"/>
    </xf>
    <xf fontId="6" fillId="0" borderId="1" numFmtId="3" xfId="0" applyNumberFormat="1" applyFont="1" applyBorder="1"/>
    <xf fontId="6" fillId="2" borderId="46" numFmtId="1" xfId="0" applyNumberFormat="1" applyFont="1" applyFill="1" applyBorder="1" applyAlignment="1">
      <alignment horizontal="center" vertical="center"/>
    </xf>
    <xf fontId="6" fillId="2" borderId="22" numFmtId="1" xfId="0" applyNumberFormat="1" applyFont="1" applyFill="1" applyBorder="1" applyAlignment="1">
      <alignment horizontal="center"/>
    </xf>
    <xf fontId="6" fillId="0" borderId="10" numFmtId="3" xfId="0" applyNumberFormat="1" applyFont="1" applyBorder="1"/>
    <xf fontId="6" fillId="2" borderId="40" numFmtId="0" xfId="0" applyFont="1" applyFill="1" applyBorder="1" applyAlignment="1">
      <alignment horizontal="center" vertical="center"/>
    </xf>
    <xf fontId="6" fillId="2" borderId="46" numFmtId="0" xfId="0" applyFont="1" applyFill="1" applyBorder="1" applyAlignment="1">
      <alignment horizontal="center" vertical="center"/>
    </xf>
    <xf fontId="6" fillId="2" borderId="22" numFmtId="0" xfId="0" applyFont="1" applyFill="1" applyBorder="1" applyAlignment="1">
      <alignment horizontal="center" vertical="center"/>
    </xf>
    <xf fontId="6" fillId="2" borderId="20" numFmtId="0" xfId="0" applyFont="1" applyFill="1" applyBorder="1" applyAlignment="1">
      <alignment horizontal="center" vertical="center"/>
    </xf>
    <xf fontId="6" fillId="2" borderId="1" numFmtId="161" xfId="0" applyNumberFormat="1" applyFont="1" applyFill="1" applyBorder="1" applyAlignment="1">
      <alignment horizontal="center"/>
    </xf>
    <xf fontId="6" fillId="2" borderId="40" numFmtId="161" xfId="0" applyNumberFormat="1" applyFont="1" applyFill="1" applyBorder="1"/>
    <xf fontId="6" fillId="2" borderId="1" numFmtId="3" xfId="0" applyNumberFormat="1" applyFont="1" applyFill="1" applyBorder="1"/>
    <xf fontId="6" fillId="2" borderId="52" numFmtId="0" xfId="0" applyFont="1" applyFill="1" applyBorder="1" applyAlignment="1">
      <alignment horizontal="center" vertical="center"/>
    </xf>
    <xf fontId="6" fillId="2" borderId="45" numFmtId="0" xfId="0" applyFont="1" applyFill="1" applyBorder="1" applyAlignment="1">
      <alignment horizontal="center" vertical="center"/>
    </xf>
    <xf fontId="6" fillId="2" borderId="19" numFmtId="0" xfId="0" applyFont="1" applyFill="1" applyBorder="1" applyAlignment="1">
      <alignment horizontal="center" vertical="center"/>
    </xf>
    <xf fontId="6" fillId="2" borderId="19" numFmtId="0" xfId="0" applyFont="1" applyFill="1" applyBorder="1" applyAlignment="1">
      <alignment horizontal="center"/>
    </xf>
    <xf fontId="11" fillId="2" borderId="19" numFmtId="3" xfId="0" applyNumberFormat="1" applyFont="1" applyFill="1" applyBorder="1" applyAlignment="1">
      <alignment horizontal="center"/>
    </xf>
    <xf fontId="11" fillId="2" borderId="52" numFmtId="3" xfId="0" applyNumberFormat="1" applyFont="1" applyFill="1" applyBorder="1" applyAlignment="1">
      <alignment horizontal="center"/>
    </xf>
    <xf fontId="6" fillId="2" borderId="45" numFmtId="0" xfId="0" applyFont="1" applyFill="1" applyBorder="1" applyAlignment="1">
      <alignment horizontal="center"/>
    </xf>
    <xf fontId="5" fillId="2" borderId="19" numFmtId="1" xfId="0" applyNumberFormat="1" applyFont="1" applyFill="1" applyBorder="1"/>
    <xf fontId="6" fillId="17" borderId="1" numFmtId="161" xfId="0" applyNumberFormat="1" applyFont="1" applyFill="1" applyBorder="1" applyAlignment="1">
      <alignment horizontal="center"/>
    </xf>
    <xf fontId="11" fillId="2" borderId="46" numFmtId="3" xfId="0" applyNumberFormat="1" applyFont="1" applyFill="1" applyBorder="1" applyAlignment="1">
      <alignment horizontal="center"/>
    </xf>
    <xf fontId="6" fillId="2" borderId="25" numFmtId="0" xfId="0" applyFont="1" applyFill="1" applyBorder="1" applyAlignment="1">
      <alignment horizontal="center"/>
    </xf>
    <xf fontId="11" fillId="2" borderId="19" numFmtId="0" xfId="5" applyFont="1" applyFill="1" applyBorder="1"/>
    <xf fontId="6" fillId="2" borderId="48" numFmtId="0" xfId="0" applyFont="1" applyFill="1" applyBorder="1" applyAlignment="1">
      <alignment horizontal="center" vertical="center" wrapText="1"/>
    </xf>
    <xf fontId="6" fillId="2" borderId="49" numFmtId="0" xfId="0" applyFont="1" applyFill="1" applyBorder="1" applyAlignment="1">
      <alignment horizontal="center" vertical="center" wrapText="1"/>
    </xf>
    <xf fontId="6" fillId="2" borderId="50" numFmtId="0" xfId="0" applyFont="1" applyFill="1" applyBorder="1" applyAlignment="1">
      <alignment horizontal="center"/>
    </xf>
    <xf fontId="6" fillId="2" borderId="48" numFmtId="0" xfId="0" applyFont="1" applyFill="1" applyBorder="1" applyAlignment="1">
      <alignment horizontal="center"/>
    </xf>
    <xf fontId="6" fillId="2" borderId="48" numFmtId="1" xfId="0" applyNumberFormat="1" applyFont="1" applyFill="1" applyBorder="1" applyAlignment="1">
      <alignment horizontal="center" vertical="center"/>
    </xf>
    <xf fontId="6" fillId="2" borderId="45" numFmtId="1" xfId="0" applyNumberFormat="1" applyFont="1" applyFill="1" applyBorder="1" applyAlignment="1">
      <alignment horizontal="center"/>
    </xf>
    <xf fontId="6" fillId="2" borderId="48" numFmtId="0" xfId="0" applyFont="1" applyFill="1" applyBorder="1" applyAlignment="1">
      <alignment horizontal="center" vertical="center"/>
    </xf>
    <xf fontId="6" fillId="2" borderId="20" numFmtId="0" xfId="0" applyFont="1" applyFill="1" applyBorder="1" applyAlignment="1">
      <alignment horizontal="center"/>
    </xf>
    <xf fontId="11" fillId="2" borderId="20" numFmtId="0" xfId="0" applyFont="1" applyFill="1" applyBorder="1" applyAlignment="1">
      <alignment horizontal="center"/>
    </xf>
    <xf fontId="6" fillId="2" borderId="25" numFmtId="1" xfId="0" applyNumberFormat="1" applyFont="1" applyFill="1" applyBorder="1" applyAlignment="1">
      <alignment horizontal="center"/>
    </xf>
    <xf fontId="6" fillId="2" borderId="20" numFmtId="1" xfId="0" applyNumberFormat="1" applyFont="1" applyFill="1" applyBorder="1" applyAlignment="1">
      <alignment horizontal="center"/>
    </xf>
    <xf fontId="6" fillId="2" borderId="25" numFmtId="0" xfId="0" applyFont="1" applyFill="1" applyBorder="1" applyAlignment="1">
      <alignment horizontal="center" vertical="center"/>
    </xf>
    <xf fontId="11" fillId="2" borderId="41" numFmtId="0" xfId="5" applyFont="1" applyFill="1" applyBorder="1"/>
    <xf fontId="6" fillId="2" borderId="41" numFmtId="0" xfId="0" applyFont="1" applyFill="1" applyBorder="1" applyAlignment="1">
      <alignment horizontal="center"/>
    </xf>
    <xf fontId="6" fillId="2" borderId="42" numFmtId="0" xfId="0" applyFont="1" applyFill="1" applyBorder="1" applyAlignment="1">
      <alignment horizontal="center"/>
    </xf>
    <xf fontId="6" fillId="2" borderId="43" numFmtId="0" xfId="0" applyFont="1" applyFill="1" applyBorder="1" applyAlignment="1">
      <alignment horizontal="center" vertical="center" wrapText="1"/>
    </xf>
    <xf fontId="6" fillId="2" borderId="51" numFmtId="0" xfId="0" applyFont="1" applyFill="1" applyBorder="1" applyAlignment="1">
      <alignment horizontal="center" vertical="center" wrapText="1"/>
    </xf>
    <xf fontId="6" fillId="2" borderId="47" numFmtId="0" xfId="0" applyFont="1" applyFill="1" applyBorder="1" applyAlignment="1">
      <alignment horizontal="center"/>
    </xf>
    <xf fontId="6" fillId="2" borderId="43" numFmtId="0" xfId="0" applyFont="1" applyFill="1" applyBorder="1" applyAlignment="1">
      <alignment horizontal="center"/>
    </xf>
    <xf fontId="6" fillId="2" borderId="43" numFmtId="1" xfId="0" applyNumberFormat="1" applyFont="1" applyFill="1" applyBorder="1" applyAlignment="1">
      <alignment horizontal="center" vertical="center"/>
    </xf>
    <xf fontId="6" fillId="2" borderId="44" numFmtId="1" xfId="0" applyNumberFormat="1" applyFont="1" applyFill="1" applyBorder="1" applyAlignment="1">
      <alignment horizontal="center"/>
    </xf>
    <xf fontId="6" fillId="2" borderId="41" numFmtId="0" xfId="0" applyFont="1" applyFill="1" applyBorder="1" applyAlignment="1">
      <alignment horizontal="center" vertical="center"/>
    </xf>
    <xf fontId="6" fillId="2" borderId="43" numFmtId="0" xfId="0" applyFont="1" applyFill="1" applyBorder="1" applyAlignment="1">
      <alignment horizontal="center" vertical="center"/>
    </xf>
    <xf fontId="6" fillId="17" borderId="1" numFmtId="0" xfId="0" applyFont="1" applyFill="1" applyBorder="1" applyAlignment="1">
      <alignment horizontal="center"/>
    </xf>
    <xf fontId="0" fillId="0" borderId="19" numFmtId="0" xfId="0" applyBorder="1" applyAlignment="1">
      <alignment horizontal="center"/>
    </xf>
    <xf fontId="6" fillId="2" borderId="44" numFmtId="0" xfId="0" applyFont="1" applyFill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5" numFmtId="0" xfId="0" applyBorder="1" applyAlignment="1">
      <alignment horizontal="center"/>
    </xf>
    <xf fontId="6" fillId="2" borderId="52" numFmtId="0" xfId="0" applyFont="1" applyFill="1" applyBorder="1" applyAlignment="1">
      <alignment horizontal="center"/>
    </xf>
    <xf fontId="6" fillId="0" borderId="16" numFmtId="161" xfId="0" applyNumberFormat="1" applyFont="1" applyBorder="1" applyAlignment="1">
      <alignment horizontal="center"/>
    </xf>
    <xf fontId="6" fillId="0" borderId="53" numFmtId="161" xfId="0" applyNumberFormat="1" applyFont="1" applyBorder="1" applyAlignment="1">
      <alignment horizontal="center"/>
    </xf>
    <xf fontId="0" fillId="0" borderId="52" numFmtId="0" xfId="0" applyBorder="1" applyAlignment="1">
      <alignment horizontal="center"/>
    </xf>
    <xf fontId="6" fillId="0" borderId="16" numFmtId="3" xfId="0" applyNumberFormat="1" applyFont="1" applyBorder="1"/>
    <xf fontId="6" fillId="0" borderId="53" numFmtId="3" xfId="0" applyNumberFormat="1" applyFont="1" applyBorder="1"/>
    <xf fontId="7" fillId="19" borderId="19" numFmtId="0" xfId="5" applyFont="1" applyFill="1" applyBorder="1"/>
    <xf fontId="7" fillId="19" borderId="14" numFmtId="0" xfId="5" applyFont="1" applyFill="1" applyBorder="1"/>
    <xf fontId="11" fillId="19" borderId="19" numFmtId="0" xfId="5" applyFont="1" applyFill="1" applyBorder="1"/>
    <xf fontId="7" fillId="19" borderId="26" numFmtId="0" xfId="5" applyFont="1" applyFill="1" applyBorder="1"/>
    <xf fontId="7" fillId="19" borderId="52" numFmtId="0" xfId="5" applyFont="1" applyFill="1" applyBorder="1"/>
    <xf fontId="7" fillId="19" borderId="45" numFmtId="0" xfId="5" applyFont="1" applyFill="1" applyBorder="1"/>
    <xf fontId="7" fillId="19" borderId="54" numFmtId="161" xfId="5" applyNumberFormat="1" applyFont="1" applyFill="1" applyBorder="1"/>
    <xf fontId="7" fillId="19" borderId="48" numFmtId="161" xfId="5" applyNumberFormat="1" applyFont="1" applyFill="1" applyBorder="1"/>
    <xf fontId="7" fillId="19" borderId="46" numFmtId="0" xfId="5" applyFont="1" applyFill="1" applyBorder="1"/>
    <xf fontId="7" fillId="19" borderId="43" numFmtId="0" xfId="5" applyFont="1" applyFill="1" applyBorder="1"/>
    <xf fontId="7" fillId="19" borderId="25" numFmtId="0" xfId="5" applyFont="1" applyFill="1" applyBorder="1"/>
    <xf fontId="7" fillId="19" borderId="20" numFmtId="0" xfId="5" applyFont="1" applyFill="1" applyBorder="1"/>
    <xf fontId="7" fillId="19" borderId="43" numFmtId="0" xfId="5" applyFont="1" applyFill="1" applyBorder="1" applyAlignment="1">
      <alignment horizontal="center"/>
    </xf>
    <xf fontId="7" fillId="19" borderId="25" numFmtId="0" xfId="5" applyFont="1" applyFill="1" applyBorder="1" applyAlignment="1">
      <alignment horizontal="center"/>
    </xf>
    <xf fontId="7" fillId="19" borderId="19" numFmtId="0" xfId="5" applyFont="1" applyFill="1" applyBorder="1" applyAlignment="1">
      <alignment horizontal="center"/>
    </xf>
    <xf fontId="7" fillId="19" borderId="26" numFmtId="0" xfId="5" applyFont="1" applyFill="1" applyBorder="1" applyAlignment="1">
      <alignment horizontal="center" vertical="center"/>
    </xf>
    <xf fontId="7" fillId="19" borderId="52" numFmtId="0" xfId="5" applyFont="1" applyFill="1" applyBorder="1" applyAlignment="1">
      <alignment horizontal="center" vertical="center"/>
    </xf>
    <xf fontId="7" fillId="19" borderId="10" numFmtId="0" xfId="5" applyFont="1" applyFill="1" applyBorder="1" applyAlignment="1">
      <alignment horizontal="center" vertical="center"/>
    </xf>
    <xf fontId="7" fillId="19" borderId="28" numFmtId="0" xfId="5" applyFont="1" applyFill="1" applyBorder="1" applyAlignment="1">
      <alignment horizontal="center" vertical="center"/>
    </xf>
    <xf fontId="7" fillId="19" borderId="26" numFmtId="0" xfId="5" applyFont="1" applyFill="1" applyBorder="1" applyAlignment="1">
      <alignment horizontal="center"/>
    </xf>
    <xf fontId="7" fillId="19" borderId="20" numFmtId="0" xfId="5" applyFont="1" applyFill="1" applyBorder="1" applyAlignment="1">
      <alignment horizontal="center"/>
    </xf>
    <xf fontId="7" fillId="19" borderId="55" numFmtId="0" xfId="5" applyFont="1" applyFill="1" applyBorder="1" applyAlignment="1">
      <alignment horizontal="center"/>
    </xf>
    <xf fontId="7" fillId="19" borderId="52" numFmtId="0" xfId="5" applyFont="1" applyFill="1" applyBorder="1" applyAlignment="1">
      <alignment horizontal="center"/>
    </xf>
    <xf fontId="7" fillId="19" borderId="22" numFmtId="0" xfId="5" applyFont="1" applyFill="1" applyBorder="1" applyAlignment="1">
      <alignment horizontal="center"/>
    </xf>
    <xf fontId="7" fillId="19" borderId="48" numFmtId="0" xfId="5" applyFont="1" applyFill="1" applyBorder="1" applyAlignment="1">
      <alignment horizontal="center" vertical="center"/>
    </xf>
    <xf fontId="7" fillId="19" borderId="46" numFmtId="0" xfId="5" applyFont="1" applyFill="1" applyBorder="1" applyAlignment="1">
      <alignment horizontal="center" vertical="center"/>
    </xf>
    <xf fontId="7" fillId="19" borderId="25" numFmtId="0" xfId="5" applyFont="1" applyFill="1" applyBorder="1" applyAlignment="1">
      <alignment horizontal="center" vertical="center"/>
    </xf>
    <xf fontId="7" fillId="19" borderId="19" numFmtId="0" xfId="5" applyFont="1" applyFill="1" applyBorder="1" applyAlignment="1">
      <alignment horizontal="center" vertical="center"/>
    </xf>
    <xf fontId="11" fillId="21" borderId="25" numFmtId="0" xfId="5" applyFont="1" applyFill="1" applyBorder="1"/>
    <xf fontId="6" fillId="21" borderId="26" numFmtId="0" xfId="0" applyFont="1" applyFill="1" applyBorder="1" applyAlignment="1">
      <alignment horizontal="center"/>
    </xf>
    <xf fontId="6" fillId="21" borderId="25" numFmtId="0" xfId="0" applyFont="1" applyFill="1" applyBorder="1" applyAlignment="1">
      <alignment horizontal="center"/>
    </xf>
    <xf fontId="6" fillId="21" borderId="20" numFmtId="0" xfId="0" applyFont="1" applyFill="1" applyBorder="1" applyAlignment="1">
      <alignment horizontal="center"/>
    </xf>
    <xf fontId="11" fillId="21" borderId="43" numFmtId="0" xfId="0" applyFont="1" applyFill="1" applyBorder="1" applyAlignment="1">
      <alignment horizontal="center"/>
    </xf>
    <xf fontId="6" fillId="21" borderId="1" numFmtId="0" xfId="0" applyFont="1" applyFill="1" applyBorder="1" applyAlignment="1">
      <alignment horizontal="center" vertical="center" wrapText="1"/>
    </xf>
    <xf fontId="6" fillId="21" borderId="10" numFmtId="0" xfId="0" applyFont="1" applyFill="1" applyBorder="1" applyAlignment="1">
      <alignment horizontal="center"/>
    </xf>
    <xf fontId="6" fillId="21" borderId="25" numFmtId="1" xfId="0" applyNumberFormat="1" applyFont="1" applyFill="1" applyBorder="1" applyAlignment="1">
      <alignment horizontal="center"/>
    </xf>
    <xf fontId="0" fillId="21" borderId="20" numFmtId="0" xfId="0" applyFill="1" applyBorder="1" applyAlignment="1">
      <alignment horizontal="center"/>
    </xf>
    <xf fontId="0" fillId="21" borderId="1" numFmtId="0" xfId="0" applyFill="1" applyBorder="1" applyAlignment="1">
      <alignment horizontal="center"/>
    </xf>
    <xf fontId="0" fillId="21" borderId="25" numFmtId="0" xfId="0" applyFill="1" applyBorder="1" applyAlignment="1">
      <alignment horizontal="center"/>
    </xf>
    <xf fontId="6" fillId="21" borderId="42" numFmtId="1" xfId="0" applyNumberFormat="1" applyFont="1" applyFill="1" applyBorder="1" applyAlignment="1">
      <alignment horizontal="center"/>
    </xf>
    <xf fontId="6" fillId="21" borderId="20" numFmtId="161" xfId="0" applyNumberFormat="1" applyFont="1" applyFill="1" applyBorder="1" applyAlignment="1">
      <alignment horizontal="center"/>
    </xf>
    <xf fontId="5" fillId="21" borderId="1" numFmtId="1" xfId="0" applyNumberFormat="1" applyFont="1" applyFill="1" applyBorder="1"/>
    <xf fontId="6" fillId="21" borderId="20" numFmtId="1" xfId="0" applyNumberFormat="1" applyFont="1" applyFill="1" applyBorder="1" applyAlignment="1">
      <alignment horizontal="center"/>
    </xf>
    <xf fontId="6" fillId="21" borderId="43" numFmtId="0" xfId="0" applyFont="1" applyFill="1" applyBorder="1" applyAlignment="1">
      <alignment horizontal="center"/>
    </xf>
    <xf fontId="6" fillId="21" borderId="48" numFmtId="0" xfId="0" applyFont="1" applyFill="1" applyBorder="1" applyAlignment="1">
      <alignment horizontal="center"/>
    </xf>
    <xf fontId="6" fillId="21" borderId="10" numFmtId="0" xfId="0" applyFont="1" applyFill="1" applyBorder="1" applyAlignment="1">
      <alignment horizontal="center" vertical="center" wrapText="1"/>
    </xf>
    <xf fontId="0" fillId="21" borderId="41" numFmtId="0" xfId="0" applyFill="1" applyBorder="1" applyAlignment="1">
      <alignment horizontal="center"/>
    </xf>
    <xf fontId="6" fillId="21" borderId="44" numFmtId="0" xfId="0" applyFont="1" applyFill="1" applyBorder="1" applyAlignment="1">
      <alignment horizontal="center"/>
    </xf>
    <xf fontId="11" fillId="21" borderId="41" numFmtId="3" xfId="0" applyNumberFormat="1" applyFont="1" applyFill="1" applyBorder="1" applyAlignment="1">
      <alignment horizontal="center"/>
    </xf>
    <xf fontId="11" fillId="21" borderId="42" numFmtId="3" xfId="0" applyNumberFormat="1" applyFont="1" applyFill="1" applyBorder="1" applyAlignment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_Кварт02" xfId="5"/>
    <cellStyle name="Финансовый" xfId="6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0B9DC4DB-016F-FB10-15FE-D6BF650BF587}"/>
</namedSheetView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40" workbookViewId="0">
      <pane xSplit="1" topLeftCell="B1" activePane="topRight" state="frozen"/>
      <selection activeCell="B1" activeCellId="0" sqref="B1:AE1"/>
    </sheetView>
  </sheetViews>
  <sheetFormatPr defaultRowHeight="14.25"/>
  <cols>
    <col customWidth="1" min="1" max="1" width="28.33203125"/>
    <col customWidth="1" min="2" max="2" width="23.33203125"/>
    <col customWidth="1" min="3" max="3" width="6.6640625"/>
    <col customWidth="1" min="4" max="4" width="9.33203125"/>
    <col customWidth="1" min="5" max="5" width="7.44140625"/>
    <col customWidth="1" min="6" max="6" width="16.5546875"/>
    <col customWidth="1" min="7" max="7" width="9.33203125"/>
    <col customWidth="1" min="8" max="8" width="17.6640625"/>
    <col customWidth="1" min="9" max="9" width="9.5546875"/>
    <col customWidth="1" min="10" max="10" width="20.6640625"/>
    <col customWidth="1" min="11" max="11" width="8"/>
    <col customWidth="1" min="12" max="12" width="20.88671875"/>
    <col customWidth="1" min="13" max="13" width="11.6640625"/>
    <col customWidth="1" min="14" max="14" style="1" width="9.6640625"/>
    <col customWidth="1" min="15" max="15" width="7.33203125"/>
    <col customWidth="1" min="16" max="16" width="16.44140625"/>
    <col customWidth="1" min="17" max="17" width="7.33203125"/>
    <col customWidth="1" min="18" max="18" width="16.88671875"/>
    <col customWidth="1" min="19" max="19" width="7.88671875"/>
    <col customWidth="1" min="20" max="20" width="21.5546875"/>
    <col customWidth="1" min="21" max="21" width="7.44140625"/>
    <col customWidth="1" min="22" max="22" width="26.44140625"/>
    <col customWidth="1" min="23" max="23" width="10.33203125"/>
    <col customWidth="1" min="24" max="24" width="14.109375"/>
    <col customWidth="1" min="25" max="25" width="8.109375"/>
    <col customWidth="1" min="26" max="26" width="27.5546875"/>
    <col customWidth="1" min="27" max="27" width="7.44140625"/>
    <col customWidth="1" min="28" max="28" width="10.33203125"/>
    <col customWidth="1" min="29" max="29" width="15"/>
    <col customWidth="1" min="30" max="30" width="10.44140625"/>
    <col customWidth="1" min="31" max="31" width="16.5546875"/>
    <col customWidth="1" min="32" max="32" style="1" width="14.109375"/>
    <col customWidth="1" min="33" max="33" style="1" width="8.88671875"/>
    <col customWidth="1" min="34" max="34" width="14.109375"/>
    <col customWidth="1" min="35" max="35" width="20.88671875"/>
    <col customWidth="1" min="36" max="37" width="14.109375"/>
    <col customWidth="1" min="38" max="38" width="16"/>
    <col customWidth="1" min="39" max="39" width="15.6640625"/>
    <col customWidth="1" min="40" max="47" style="2" width="14.109375"/>
    <col customWidth="1" min="48" max="49" style="1" width="14.109375"/>
    <col customWidth="1" min="50" max="50" width="10.44140625"/>
    <col customWidth="1" min="51" max="51" width="8.5546875"/>
    <col customWidth="1" min="52" max="52" width="13.33203125"/>
    <col customWidth="1" min="53" max="53" width="8.109375"/>
    <col customWidth="1" min="54" max="54" width="17.88671875"/>
    <col customWidth="1" min="55" max="55" width="8.5546875"/>
    <col customWidth="1" min="56" max="56" width="21.6640625"/>
    <col customWidth="1" min="57" max="57" width="8.33203125"/>
    <col customWidth="1" min="58" max="58" width="25.6640625"/>
    <col customWidth="1" min="59" max="59" width="8.5546875"/>
    <col customWidth="1" min="60" max="60" width="28"/>
    <col customWidth="1" min="61" max="61" width="9"/>
    <col customWidth="1" min="62" max="62" width="12.88671875"/>
    <col customWidth="1" min="63" max="63" width="7.6640625"/>
    <col customWidth="1" min="64" max="64" width="23"/>
    <col customWidth="1" min="65" max="65" width="11.6640625"/>
    <col customWidth="1" min="66" max="66" width="22.88671875"/>
    <col customWidth="1" min="67" max="67" width="11.6640625"/>
    <col customWidth="1" min="68" max="68" width="22.5546875"/>
    <col customWidth="1" min="69" max="69" width="11.6640625"/>
    <col customWidth="1" min="70" max="71" style="3" width="11.88671875"/>
    <col customWidth="1" min="72" max="72" style="3" width="13"/>
    <col customWidth="1" min="73" max="73" style="3" width="10.44140625"/>
    <col customWidth="1" min="74" max="75" style="3" width="8.88671875"/>
    <col customWidth="1" min="76" max="80" style="3" width="9.44140625"/>
    <col customWidth="1" min="81" max="82" style="1" width="9.33203125"/>
    <col customWidth="1" min="83" max="83" style="1" width="12.5546875"/>
    <col customWidth="1" min="84" max="84" style="1" width="9.33203125"/>
    <col customWidth="1" min="85" max="87" style="4" width="9.33203125"/>
    <col customWidth="1" min="88" max="88" style="5" width="11"/>
    <col customWidth="1" min="89" max="89" style="5" width="11.44140625"/>
    <col customWidth="1" min="90" max="90" style="5" width="9.33203125"/>
    <col customWidth="1" min="91" max="91" style="5" width="14.109375"/>
    <col customWidth="1" min="92" max="98" style="5" width="9.33203125"/>
    <col customWidth="1" min="99" max="99" style="5" width="12.6640625"/>
    <col customWidth="1" min="100" max="101" style="5" width="9.33203125"/>
    <col customWidth="1" min="102" max="102" style="6" width="21.5546875"/>
    <col customWidth="1" min="103" max="103" style="4" width="9.44140625"/>
    <col customWidth="1" min="104" max="106" style="6" width="16.5546875"/>
    <col customWidth="1" min="107" max="107" style="6" width="32.44140625"/>
    <col customWidth="1" min="108" max="109" style="6" width="10.5546875"/>
    <col customWidth="1" min="110" max="111" style="7" width="10.5546875"/>
    <col customWidth="1" min="112" max="113" style="8" width="10.5546875"/>
    <col customWidth="1" min="114" max="121" style="7" width="10.5546875"/>
    <col customWidth="1" min="122" max="122" style="1" width="12.6640625"/>
    <col customWidth="1" min="123" max="127" style="1" width="13.88671875"/>
    <col customWidth="1" min="128" max="129" style="4" width="14.44140625"/>
    <col customWidth="1" min="130" max="130" width="19"/>
    <col customWidth="1" min="131" max="131" width="18"/>
  </cols>
  <sheetData>
    <row r="1" ht="19.949999999999999" customHeight="1">
      <c r="A1" s="9" t="s">
        <v>0</v>
      </c>
      <c r="B1" s="10" t="s">
        <v>1</v>
      </c>
      <c r="C1" s="11"/>
      <c r="D1" s="12"/>
      <c r="E1" s="13"/>
      <c r="F1" s="12"/>
      <c r="G1" s="13"/>
      <c r="H1" s="12"/>
      <c r="I1" s="13"/>
      <c r="J1" s="12"/>
      <c r="K1" s="13"/>
      <c r="L1" s="12"/>
      <c r="M1" s="1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6" t="s">
        <v>2</v>
      </c>
      <c r="AG1" s="17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19"/>
      <c r="AV1" s="19"/>
      <c r="AW1" s="20"/>
      <c r="AX1" s="21" t="s">
        <v>3</v>
      </c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3"/>
      <c r="BK1" s="23"/>
      <c r="BL1" s="23"/>
      <c r="BM1" s="23"/>
      <c r="BN1" s="23"/>
      <c r="BO1" s="23"/>
      <c r="BP1" s="23"/>
      <c r="BQ1" s="23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3"/>
      <c r="CD1" s="23"/>
      <c r="CE1" s="23"/>
      <c r="CF1" s="25"/>
      <c r="CG1" s="26" t="s">
        <v>4</v>
      </c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8"/>
      <c r="DS1" s="28"/>
      <c r="DT1" s="28"/>
      <c r="DU1" s="28"/>
      <c r="DV1" s="28"/>
      <c r="DW1" s="28"/>
      <c r="DX1" s="28"/>
      <c r="DY1" s="28"/>
      <c r="DZ1" s="29"/>
      <c r="EA1" s="30"/>
    </row>
    <row r="2" ht="248.25" customHeight="1">
      <c r="A2" s="31"/>
      <c r="B2" s="32" t="s">
        <v>5</v>
      </c>
      <c r="C2" s="33"/>
      <c r="D2" s="34" t="s">
        <v>6</v>
      </c>
      <c r="E2" s="35"/>
      <c r="F2" s="36"/>
      <c r="G2" s="35"/>
      <c r="H2" s="36"/>
      <c r="I2" s="35"/>
      <c r="J2" s="36"/>
      <c r="K2" s="35"/>
      <c r="L2" s="36"/>
      <c r="M2" s="37"/>
      <c r="N2" s="38" t="s">
        <v>7</v>
      </c>
      <c r="O2" s="38"/>
      <c r="P2" s="38"/>
      <c r="Q2" s="38"/>
      <c r="R2" s="38"/>
      <c r="S2" s="38"/>
      <c r="T2" s="38"/>
      <c r="U2" s="38"/>
      <c r="V2" s="38"/>
      <c r="W2" s="39"/>
      <c r="X2" s="32" t="s">
        <v>8</v>
      </c>
      <c r="Y2" s="38"/>
      <c r="Z2" s="38"/>
      <c r="AA2" s="39"/>
      <c r="AB2" s="32" t="s">
        <v>9</v>
      </c>
      <c r="AC2" s="39"/>
      <c r="AD2" s="40" t="s">
        <v>10</v>
      </c>
      <c r="AE2" s="41"/>
      <c r="AF2" s="42" t="s">
        <v>11</v>
      </c>
      <c r="AG2" s="43"/>
      <c r="AH2" s="42" t="s">
        <v>12</v>
      </c>
      <c r="AI2" s="43"/>
      <c r="AJ2" s="44" t="s">
        <v>13</v>
      </c>
      <c r="AK2" s="44"/>
      <c r="AL2" s="44"/>
      <c r="AM2" s="45"/>
      <c r="AN2" s="46" t="s">
        <v>14</v>
      </c>
      <c r="AO2" s="45"/>
      <c r="AP2" s="46" t="s">
        <v>15</v>
      </c>
      <c r="AQ2" s="45"/>
      <c r="AR2" s="46" t="s">
        <v>16</v>
      </c>
      <c r="AS2" s="44"/>
      <c r="AT2" s="47" t="s">
        <v>17</v>
      </c>
      <c r="AU2" s="47"/>
      <c r="AV2" s="47" t="s">
        <v>18</v>
      </c>
      <c r="AW2" s="47"/>
      <c r="AX2" s="48" t="s">
        <v>19</v>
      </c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9" t="s">
        <v>20</v>
      </c>
      <c r="BK2" s="49"/>
      <c r="BL2" s="49"/>
      <c r="BM2" s="49"/>
      <c r="BN2" s="49"/>
      <c r="BO2" s="49"/>
      <c r="BP2" s="49"/>
      <c r="BQ2" s="49"/>
      <c r="BR2" s="50" t="s">
        <v>21</v>
      </c>
      <c r="BS2" s="51"/>
      <c r="BT2" s="52"/>
      <c r="BU2" s="50" t="s">
        <v>22</v>
      </c>
      <c r="BV2" s="51"/>
      <c r="BW2" s="51"/>
      <c r="BX2" s="51"/>
      <c r="BY2" s="51"/>
      <c r="BZ2" s="51"/>
      <c r="CA2" s="51"/>
      <c r="CB2" s="51"/>
      <c r="CC2" s="50" t="s">
        <v>23</v>
      </c>
      <c r="CD2" s="51"/>
      <c r="CE2" s="51"/>
      <c r="CF2" s="51"/>
      <c r="CG2" s="53" t="s">
        <v>24</v>
      </c>
      <c r="CH2" s="54"/>
      <c r="CI2" s="54"/>
      <c r="CJ2" s="55" t="s">
        <v>25</v>
      </c>
      <c r="CK2" s="55"/>
      <c r="CL2" s="55"/>
      <c r="CM2" s="56" t="s">
        <v>26</v>
      </c>
      <c r="CN2" s="57"/>
      <c r="CO2" s="57"/>
      <c r="CP2" s="57"/>
      <c r="CQ2" s="57"/>
      <c r="CR2" s="57"/>
      <c r="CS2" s="57"/>
      <c r="CT2" s="58"/>
      <c r="CU2" s="54" t="s">
        <v>27</v>
      </c>
      <c r="CV2" s="54"/>
      <c r="CW2" s="59"/>
      <c r="CX2" s="60" t="s">
        <v>28</v>
      </c>
      <c r="CY2" s="60"/>
      <c r="CZ2" s="61" t="s">
        <v>29</v>
      </c>
      <c r="DA2" s="60"/>
      <c r="DB2" s="62"/>
      <c r="DC2" s="60" t="s">
        <v>30</v>
      </c>
      <c r="DD2" s="61" t="s">
        <v>31</v>
      </c>
      <c r="DE2" s="62"/>
      <c r="DF2" s="60" t="s">
        <v>32</v>
      </c>
      <c r="DG2" s="60"/>
      <c r="DH2" s="55" t="s">
        <v>33</v>
      </c>
      <c r="DI2" s="55"/>
      <c r="DJ2" s="61" t="s">
        <v>34</v>
      </c>
      <c r="DK2" s="62"/>
      <c r="DL2" s="60" t="s">
        <v>35</v>
      </c>
      <c r="DM2" s="60"/>
      <c r="DN2" s="61" t="s">
        <v>36</v>
      </c>
      <c r="DO2" s="60"/>
      <c r="DP2" s="60"/>
      <c r="DQ2" s="60"/>
      <c r="DR2" s="63" t="s">
        <v>37</v>
      </c>
      <c r="DS2" s="64"/>
      <c r="DT2" s="63" t="s">
        <v>38</v>
      </c>
      <c r="DU2" s="64"/>
      <c r="DV2" s="63" t="s">
        <v>39</v>
      </c>
      <c r="DW2" s="64"/>
      <c r="DX2" s="63" t="s">
        <v>40</v>
      </c>
      <c r="DY2" s="64"/>
      <c r="DZ2" s="65" t="s">
        <v>41</v>
      </c>
      <c r="EA2" s="66" t="s">
        <v>42</v>
      </c>
    </row>
    <row r="3" s="67" customFormat="1" ht="153" customHeight="1">
      <c r="A3" s="68"/>
      <c r="B3" s="69" t="s">
        <v>43</v>
      </c>
      <c r="C3" s="69" t="s">
        <v>44</v>
      </c>
      <c r="D3" s="70" t="s">
        <v>43</v>
      </c>
      <c r="E3" s="70" t="s">
        <v>44</v>
      </c>
      <c r="F3" s="70" t="s">
        <v>45</v>
      </c>
      <c r="G3" s="70" t="s">
        <v>44</v>
      </c>
      <c r="H3" s="70" t="s">
        <v>46</v>
      </c>
      <c r="I3" s="70" t="s">
        <v>44</v>
      </c>
      <c r="J3" s="70" t="s">
        <v>47</v>
      </c>
      <c r="K3" s="70" t="s">
        <v>44</v>
      </c>
      <c r="L3" s="70" t="s">
        <v>48</v>
      </c>
      <c r="M3" s="70" t="s">
        <v>44</v>
      </c>
      <c r="N3" s="71" t="s">
        <v>43</v>
      </c>
      <c r="O3" s="71" t="s">
        <v>44</v>
      </c>
      <c r="P3" s="71" t="s">
        <v>49</v>
      </c>
      <c r="Q3" s="71" t="s">
        <v>44</v>
      </c>
      <c r="R3" s="71" t="s">
        <v>50</v>
      </c>
      <c r="S3" s="71" t="s">
        <v>44</v>
      </c>
      <c r="T3" s="71" t="s">
        <v>51</v>
      </c>
      <c r="U3" s="71" t="s">
        <v>44</v>
      </c>
      <c r="V3" s="71" t="s">
        <v>52</v>
      </c>
      <c r="W3" s="71" t="s">
        <v>44</v>
      </c>
      <c r="X3" s="71" t="s">
        <v>53</v>
      </c>
      <c r="Y3" s="71" t="s">
        <v>44</v>
      </c>
      <c r="Z3" s="71" t="s">
        <v>54</v>
      </c>
      <c r="AA3" s="71" t="s">
        <v>44</v>
      </c>
      <c r="AB3" s="71" t="s">
        <v>55</v>
      </c>
      <c r="AC3" s="71" t="s">
        <v>44</v>
      </c>
      <c r="AD3" s="71" t="s">
        <v>55</v>
      </c>
      <c r="AE3" s="71" t="s">
        <v>44</v>
      </c>
      <c r="AF3" s="72" t="s">
        <v>56</v>
      </c>
      <c r="AG3" s="72" t="s">
        <v>44</v>
      </c>
      <c r="AH3" s="72" t="s">
        <v>55</v>
      </c>
      <c r="AI3" s="72" t="s">
        <v>44</v>
      </c>
      <c r="AJ3" s="73" t="s">
        <v>57</v>
      </c>
      <c r="AK3" s="73" t="s">
        <v>58</v>
      </c>
      <c r="AL3" s="73" t="s">
        <v>59</v>
      </c>
      <c r="AM3" s="72" t="s">
        <v>44</v>
      </c>
      <c r="AN3" s="73" t="s">
        <v>60</v>
      </c>
      <c r="AO3" s="72" t="s">
        <v>44</v>
      </c>
      <c r="AP3" s="73" t="s">
        <v>61</v>
      </c>
      <c r="AQ3" s="72" t="s">
        <v>44</v>
      </c>
      <c r="AR3" s="73" t="s">
        <v>62</v>
      </c>
      <c r="AS3" s="72" t="s">
        <v>44</v>
      </c>
      <c r="AT3" s="74" t="s">
        <v>63</v>
      </c>
      <c r="AU3" s="75" t="s">
        <v>44</v>
      </c>
      <c r="AV3" s="76" t="s">
        <v>64</v>
      </c>
      <c r="AW3" s="77" t="s">
        <v>44</v>
      </c>
      <c r="AX3" s="78" t="s">
        <v>55</v>
      </c>
      <c r="AY3" s="78" t="s">
        <v>44</v>
      </c>
      <c r="AZ3" s="78" t="s">
        <v>65</v>
      </c>
      <c r="BA3" s="78" t="s">
        <v>44</v>
      </c>
      <c r="BB3" s="78" t="s">
        <v>66</v>
      </c>
      <c r="BC3" s="78" t="s">
        <v>44</v>
      </c>
      <c r="BD3" s="78" t="s">
        <v>67</v>
      </c>
      <c r="BE3" s="78" t="s">
        <v>44</v>
      </c>
      <c r="BF3" s="78" t="s">
        <v>68</v>
      </c>
      <c r="BG3" s="78" t="s">
        <v>44</v>
      </c>
      <c r="BH3" s="78" t="s">
        <v>69</v>
      </c>
      <c r="BI3" s="78" t="s">
        <v>44</v>
      </c>
      <c r="BJ3" s="79" t="s">
        <v>55</v>
      </c>
      <c r="BK3" s="79" t="s">
        <v>44</v>
      </c>
      <c r="BL3" s="79" t="s">
        <v>70</v>
      </c>
      <c r="BM3" s="79" t="s">
        <v>44</v>
      </c>
      <c r="BN3" s="79" t="s">
        <v>71</v>
      </c>
      <c r="BO3" s="79" t="s">
        <v>44</v>
      </c>
      <c r="BP3" s="79" t="s">
        <v>72</v>
      </c>
      <c r="BQ3" s="80" t="s">
        <v>44</v>
      </c>
      <c r="BR3" s="81" t="s">
        <v>73</v>
      </c>
      <c r="BS3" s="81" t="s">
        <v>63</v>
      </c>
      <c r="BT3" s="82" t="s">
        <v>44</v>
      </c>
      <c r="BU3" s="81" t="s">
        <v>74</v>
      </c>
      <c r="BV3" s="81" t="s">
        <v>44</v>
      </c>
      <c r="BW3" s="83" t="s">
        <v>75</v>
      </c>
      <c r="BX3" s="81" t="s">
        <v>44</v>
      </c>
      <c r="BY3" s="83" t="s">
        <v>76</v>
      </c>
      <c r="BZ3" s="81" t="s">
        <v>44</v>
      </c>
      <c r="CA3" s="81" t="s">
        <v>77</v>
      </c>
      <c r="CB3" s="81" t="s">
        <v>44</v>
      </c>
      <c r="CC3" s="84" t="s">
        <v>78</v>
      </c>
      <c r="CD3" s="79" t="s">
        <v>44</v>
      </c>
      <c r="CE3" s="79" t="s">
        <v>79</v>
      </c>
      <c r="CF3" s="85" t="s">
        <v>44</v>
      </c>
      <c r="CG3" s="86" t="s">
        <v>80</v>
      </c>
      <c r="CH3" s="86" t="s">
        <v>63</v>
      </c>
      <c r="CI3" s="87" t="s">
        <v>44</v>
      </c>
      <c r="CJ3" s="88" t="s">
        <v>73</v>
      </c>
      <c r="CK3" s="88" t="s">
        <v>63</v>
      </c>
      <c r="CL3" s="89" t="s">
        <v>44</v>
      </c>
      <c r="CM3" s="90" t="s">
        <v>81</v>
      </c>
      <c r="CN3" s="90" t="s">
        <v>44</v>
      </c>
      <c r="CO3" s="91" t="s">
        <v>75</v>
      </c>
      <c r="CP3" s="91" t="s">
        <v>44</v>
      </c>
      <c r="CQ3" s="91" t="s">
        <v>76</v>
      </c>
      <c r="CR3" s="91" t="s">
        <v>44</v>
      </c>
      <c r="CS3" s="91" t="s">
        <v>82</v>
      </c>
      <c r="CT3" s="91" t="s">
        <v>44</v>
      </c>
      <c r="CU3" s="92" t="s">
        <v>73</v>
      </c>
      <c r="CV3" s="86" t="s">
        <v>63</v>
      </c>
      <c r="CW3" s="93" t="s">
        <v>44</v>
      </c>
      <c r="CX3" s="94" t="s">
        <v>83</v>
      </c>
      <c r="CY3" s="95" t="s">
        <v>44</v>
      </c>
      <c r="CZ3" s="96" t="s">
        <v>73</v>
      </c>
      <c r="DA3" s="97" t="s">
        <v>63</v>
      </c>
      <c r="DB3" s="90" t="s">
        <v>44</v>
      </c>
      <c r="DC3" s="90" t="s">
        <v>63</v>
      </c>
      <c r="DD3" s="90" t="s">
        <v>84</v>
      </c>
      <c r="DE3" s="90" t="s">
        <v>44</v>
      </c>
      <c r="DF3" s="90" t="s">
        <v>85</v>
      </c>
      <c r="DG3" s="90" t="s">
        <v>44</v>
      </c>
      <c r="DH3" s="96" t="s">
        <v>84</v>
      </c>
      <c r="DI3" s="90" t="s">
        <v>44</v>
      </c>
      <c r="DJ3" s="90" t="s">
        <v>84</v>
      </c>
      <c r="DK3" s="90" t="s">
        <v>44</v>
      </c>
      <c r="DL3" s="90" t="s">
        <v>84</v>
      </c>
      <c r="DM3" s="90" t="s">
        <v>44</v>
      </c>
      <c r="DN3" s="98" t="s">
        <v>86</v>
      </c>
      <c r="DO3" s="98" t="s">
        <v>44</v>
      </c>
      <c r="DP3" s="98" t="s">
        <v>87</v>
      </c>
      <c r="DQ3" s="99" t="s">
        <v>44</v>
      </c>
      <c r="DR3" s="100" t="s">
        <v>63</v>
      </c>
      <c r="DS3" s="101" t="s">
        <v>44</v>
      </c>
      <c r="DT3" s="100" t="s">
        <v>63</v>
      </c>
      <c r="DU3" s="101" t="s">
        <v>44</v>
      </c>
      <c r="DV3" s="100" t="s">
        <v>63</v>
      </c>
      <c r="DW3" s="102" t="s">
        <v>44</v>
      </c>
      <c r="DX3" s="100" t="s">
        <v>63</v>
      </c>
      <c r="DY3" s="101" t="s">
        <v>44</v>
      </c>
      <c r="DZ3" s="103"/>
      <c r="EA3" s="103"/>
    </row>
    <row r="4" s="1" customFormat="1" ht="15">
      <c r="A4" s="104" t="s">
        <v>88</v>
      </c>
      <c r="B4" s="105" t="s">
        <v>89</v>
      </c>
      <c r="C4" s="105">
        <f t="shared" ref="C4:C9" si="0">IF(B4="да",4,0)</f>
        <v>4</v>
      </c>
      <c r="D4" s="105" t="s">
        <v>89</v>
      </c>
      <c r="E4" s="105">
        <f t="shared" ref="E4:E9" si="1">IF(D4="да",4,0)</f>
        <v>4</v>
      </c>
      <c r="F4" s="105" t="s">
        <v>90</v>
      </c>
      <c r="G4" s="105">
        <f t="shared" ref="G4:G9" si="2">IF(F4="+",0.5,0)</f>
        <v>0</v>
      </c>
      <c r="H4" s="105" t="s">
        <v>91</v>
      </c>
      <c r="I4" s="105">
        <f t="shared" ref="I4:I9" si="3">IF(H4="+",1,0)</f>
        <v>1</v>
      </c>
      <c r="J4" s="105" t="s">
        <v>90</v>
      </c>
      <c r="K4" s="105">
        <f t="shared" ref="K4:K9" si="4">IF(J4="+",0.5,0)</f>
        <v>0</v>
      </c>
      <c r="L4" s="105" t="s">
        <v>91</v>
      </c>
      <c r="M4" s="105">
        <f t="shared" ref="M4:M9" si="5">IF(L4="+",1,0)</f>
        <v>1</v>
      </c>
      <c r="N4" s="105" t="s">
        <v>89</v>
      </c>
      <c r="O4" s="105">
        <f t="shared" ref="O4:O9" si="6">IF(N4="да",4,0)</f>
        <v>4</v>
      </c>
      <c r="P4" s="106" t="s">
        <v>89</v>
      </c>
      <c r="Q4" s="105">
        <f t="shared" ref="Q4:Q9" si="7">IF(P4="да",0.5,0)</f>
        <v>0.5</v>
      </c>
      <c r="R4" s="105" t="s">
        <v>89</v>
      </c>
      <c r="S4" s="105">
        <f t="shared" ref="S4:S9" si="8">IF(R4="да",0.5,0)</f>
        <v>0.5</v>
      </c>
      <c r="T4" s="105" t="s">
        <v>89</v>
      </c>
      <c r="U4" s="105">
        <f t="shared" ref="U4:U9" si="9">IF(T4="да",0.5,0)</f>
        <v>0.5</v>
      </c>
      <c r="V4" s="105" t="s">
        <v>89</v>
      </c>
      <c r="W4" s="105">
        <f t="shared" ref="W4:W9" si="10">IF(V4="да",0.5,0)</f>
        <v>0.5</v>
      </c>
      <c r="X4" s="105" t="s">
        <v>89</v>
      </c>
      <c r="Y4" s="105">
        <f t="shared" ref="Y4:Y9" si="11">IF(X4="да",4,0)</f>
        <v>4</v>
      </c>
      <c r="Z4" s="105" t="s">
        <v>91</v>
      </c>
      <c r="AA4" s="105">
        <f t="shared" ref="AA4:AA9" si="12">IF(Z4="+",0.5,0)</f>
        <v>0.5</v>
      </c>
      <c r="AB4" s="105" t="s">
        <v>89</v>
      </c>
      <c r="AC4" s="105">
        <f t="shared" ref="AC4:AC9" si="13">IF(AB4="да",4,0)</f>
        <v>4</v>
      </c>
      <c r="AD4" s="105" t="s">
        <v>89</v>
      </c>
      <c r="AE4" s="105">
        <f t="shared" ref="AE4:AE9" si="14">IF(AD4="да",4,0)</f>
        <v>4</v>
      </c>
      <c r="AF4" s="105">
        <v>14</v>
      </c>
      <c r="AG4" s="105">
        <f t="shared" ref="AG4:AG9" si="15">AF4</f>
        <v>14</v>
      </c>
      <c r="AH4" s="105" t="s">
        <v>89</v>
      </c>
      <c r="AI4" s="107">
        <f t="shared" ref="AI4:AI9" si="16">IF(AH4="да",4,0)</f>
        <v>4</v>
      </c>
      <c r="AJ4" s="107" t="s">
        <v>90</v>
      </c>
      <c r="AK4" s="107" t="s">
        <v>89</v>
      </c>
      <c r="AL4" s="108" t="s">
        <v>90</v>
      </c>
      <c r="AM4" s="109">
        <f t="shared" ref="AM4:AM9" si="17">IF(AJ4="нет",4,IF(AK4="да",0,IF(AL4="да",-2,)))</f>
        <v>0</v>
      </c>
      <c r="AN4" s="110">
        <v>99.700000000000003</v>
      </c>
      <c r="AO4" s="111">
        <f t="shared" ref="AO4:AO9" si="18">IF(AN4&lt;=19.99,-2,IF(AN4&lt;=24.99,0,IF(AN4&gt;=25,4)))</f>
        <v>4</v>
      </c>
      <c r="AP4" s="112">
        <v>73.299999999999997</v>
      </c>
      <c r="AQ4" s="111">
        <f t="shared" ref="AQ4:AQ9" si="19">IF(AP4&lt;=14.99,-2,IF(AP4&lt;=24.99,0,IF(AP4&lt;=34.99,2,IF(AP4&gt;=35,4))))</f>
        <v>4</v>
      </c>
      <c r="AR4" s="110">
        <v>3.2000000000000002</v>
      </c>
      <c r="AS4" s="111">
        <f t="shared" ref="AS4:AS9" si="20">IF(AR4&lt;=0.99,-2,IF(AR4&lt;=1.99,0,IF(AR4&gt;=1.99,4)))</f>
        <v>4</v>
      </c>
      <c r="AT4" s="110">
        <v>2.8999999999999999</v>
      </c>
      <c r="AU4" s="113">
        <f t="shared" ref="AU4:AU7" si="21">IF(AT4&lt;=0.99,-2,IF(AT4&lt;=2.79,0,IF(AT4&gt;=2.8,4)))</f>
        <v>4</v>
      </c>
      <c r="AV4">
        <v>9.6999999999999993</v>
      </c>
      <c r="AW4" s="105">
        <f t="shared" ref="AW4:AW9" si="22">IF(AV4&lt;=9.99,2,IF(AV4&lt;=24.99,0,IF(AV4&gt;=25,-4)))</f>
        <v>2</v>
      </c>
      <c r="AX4" s="105" t="s">
        <v>89</v>
      </c>
      <c r="AY4" s="105">
        <f t="shared" ref="AY4:AY9" si="23">IF(AX4="да",4,0)</f>
        <v>4</v>
      </c>
      <c r="AZ4" s="105" t="s">
        <v>89</v>
      </c>
      <c r="BA4" s="105">
        <f t="shared" ref="BA4:BA9" si="24">IF(AZ4="да",0.5,0)</f>
        <v>0.5</v>
      </c>
      <c r="BB4" s="105" t="s">
        <v>89</v>
      </c>
      <c r="BC4" s="105">
        <f t="shared" ref="BC4:BC9" si="25">IF(BB4="да",0.5,0)</f>
        <v>0.5</v>
      </c>
      <c r="BD4" s="105" t="s">
        <v>89</v>
      </c>
      <c r="BE4" s="105">
        <f t="shared" ref="BE4:BE9" si="26">IF(BD4="да",0.5,0)</f>
        <v>0.5</v>
      </c>
      <c r="BF4" s="105" t="s">
        <v>89</v>
      </c>
      <c r="BG4" s="105">
        <f t="shared" ref="BG4:BG9" si="27">IF(BF4="да",0.5,0)</f>
        <v>0.5</v>
      </c>
      <c r="BH4" s="105" t="s">
        <v>89</v>
      </c>
      <c r="BI4" s="105">
        <f t="shared" ref="BI4:BI9" si="28">IF(BH4="да",0.5,0)</f>
        <v>0.5</v>
      </c>
      <c r="BJ4" s="105" t="s">
        <v>89</v>
      </c>
      <c r="BK4" s="105">
        <f t="shared" ref="BK4:BK9" si="29">IF(BJ4="да",4,0)</f>
        <v>4</v>
      </c>
      <c r="BL4" s="105" t="s">
        <v>90</v>
      </c>
      <c r="BM4" s="105">
        <f t="shared" ref="BM4:BM9" si="30">IF(BL4="+",0.5,0)</f>
        <v>0</v>
      </c>
      <c r="BN4" s="105" t="s">
        <v>90</v>
      </c>
      <c r="BO4" s="105">
        <f t="shared" ref="BO4:BO9" si="31">IF(BN4="+",1,0)</f>
        <v>0</v>
      </c>
      <c r="BP4" s="105" t="s">
        <v>91</v>
      </c>
      <c r="BQ4" s="107">
        <f t="shared" ref="BQ4:BQ9" si="32">IF(BP4="+",1.5,0)</f>
        <v>1.5</v>
      </c>
      <c r="BR4" s="114">
        <v>60120</v>
      </c>
      <c r="BS4" s="115">
        <v>69962</v>
      </c>
      <c r="BT4" s="116">
        <f t="shared" ref="BT4:BT9" si="33">IF(BS4&lt;BR4,-2,IF(BS4=BR4,0,IF((((BS4/BR4)*100)-100)&lt;=5,2,4)))</f>
        <v>4</v>
      </c>
      <c r="BU4" s="117" t="s">
        <v>91</v>
      </c>
      <c r="BV4" s="117">
        <f t="shared" ref="BV4:BV9" si="34">IF(BU4="+",6,0)</f>
        <v>6</v>
      </c>
      <c r="BW4" s="117" t="s">
        <v>90</v>
      </c>
      <c r="BX4" s="117">
        <f t="shared" ref="BX4:BX9" si="35">IF(BW4="+",4,0)</f>
        <v>0</v>
      </c>
      <c r="BY4" s="117" t="s">
        <v>90</v>
      </c>
      <c r="BZ4" s="117">
        <f t="shared" ref="BZ4:BZ9" si="36">IF(BY4="+",2,0)</f>
        <v>0</v>
      </c>
      <c r="CA4" s="117" t="s">
        <v>90</v>
      </c>
      <c r="CB4" s="117">
        <f t="shared" ref="CB4:CB9" si="37">IF(CA4="+",0,0)</f>
        <v>0</v>
      </c>
      <c r="CC4" s="6" t="s">
        <v>90</v>
      </c>
      <c r="CD4" s="117">
        <f t="shared" ref="CD4:CD9" si="38">IF(CC4="+",0.5,0)</f>
        <v>0</v>
      </c>
      <c r="CE4" s="6" t="s">
        <v>91</v>
      </c>
      <c r="CF4" s="117">
        <f t="shared" ref="CF4:CF9" si="39">IF(CE4="+",4,0)</f>
        <v>4</v>
      </c>
      <c r="CG4" s="118">
        <v>277.13</v>
      </c>
      <c r="CH4" s="119">
        <v>658.44000000000005</v>
      </c>
      <c r="CI4" s="120">
        <f t="shared" ref="CI4:CI9" si="40">IF(CH4&lt;CG4,-2,IF(CH4=CG4,0,IF(CH4&gt;CG4,4)))</f>
        <v>4</v>
      </c>
      <c r="CJ4" s="121">
        <v>635652</v>
      </c>
      <c r="CK4" s="121">
        <v>725932.09999999998</v>
      </c>
      <c r="CL4" s="122">
        <f t="shared" ref="CL4:CL9" si="41">IF(CK4&lt;CJ4,-2,IF(CK4=CJ4,0,IF((((CK4/CJ4)*100)-100)&lt;=5,2,4)))</f>
        <v>4</v>
      </c>
      <c r="CM4" s="123" t="s">
        <v>91</v>
      </c>
      <c r="CN4" s="123">
        <f t="shared" ref="CN4:CN9" si="42">IF(CM4="+",6,0)</f>
        <v>6</v>
      </c>
      <c r="CO4" s="123" t="s">
        <v>90</v>
      </c>
      <c r="CP4" s="123">
        <f t="shared" ref="CP4:CP9" si="43">IF(CO4="+",4,0)</f>
        <v>0</v>
      </c>
      <c r="CQ4" s="123" t="s">
        <v>90</v>
      </c>
      <c r="CR4" s="123">
        <f t="shared" ref="CR4:CR9" si="44">IF(CQ4="+",0,0)</f>
        <v>0</v>
      </c>
      <c r="CS4" s="123" t="s">
        <v>90</v>
      </c>
      <c r="CT4" s="124">
        <f t="shared" ref="CT4:CT9" si="45">IF(CS4="+",-2,0)</f>
        <v>0</v>
      </c>
      <c r="CU4" s="121">
        <v>3790.79</v>
      </c>
      <c r="CV4" s="121">
        <v>1899.8800000000001</v>
      </c>
      <c r="CW4" s="125">
        <f t="shared" ref="CW4:CW9" si="46">IF(CV4&lt;CU4,-2,IF(CV4=CU4,0,IF((((CV4/CU4)*100)-100)&lt;=5,4,6)))</f>
        <v>-2</v>
      </c>
      <c r="CX4" s="126">
        <v>127.3</v>
      </c>
      <c r="CY4" s="127">
        <f t="shared" ref="CY4:CY9" si="47">IF(CX4&lt;=98.9,-4,IF(CX4&lt;=100.9,0,IF(CX4&lt;=104.9,4,IF(CX4&gt;=105,6))))</f>
        <v>6</v>
      </c>
      <c r="CZ4" s="128">
        <v>19314986</v>
      </c>
      <c r="DA4" s="128">
        <v>23586190</v>
      </c>
      <c r="DB4" s="127">
        <f t="shared" ref="DB4:DB9" si="48">IF(DA4&lt;=CZ4,0,IF((((DA4/CZ4)*100)-100)&lt;=5,4,6))</f>
        <v>6</v>
      </c>
      <c r="DC4" s="127">
        <v>0</v>
      </c>
      <c r="DD4" s="127" t="s">
        <v>89</v>
      </c>
      <c r="DE4" s="129">
        <f t="shared" ref="DE4:DE9" si="49">IF(DD4="да",4,0)</f>
        <v>4</v>
      </c>
      <c r="DF4" s="130">
        <v>72.700000000000003</v>
      </c>
      <c r="DG4" s="131">
        <f t="shared" ref="DG4:DG9" si="50">IF(DF4&lt;=29.99,0,IF(DF4&lt;=49.99,2,IF(DF4&gt;=50,4)))</f>
        <v>4</v>
      </c>
      <c r="DH4" s="117" t="s">
        <v>57</v>
      </c>
      <c r="DI4" s="132">
        <f t="shared" ref="DI4:DI9" si="51">IF(DH4="да",1,0)</f>
        <v>0</v>
      </c>
      <c r="DJ4" s="133" t="s">
        <v>89</v>
      </c>
      <c r="DK4" s="134">
        <f t="shared" ref="DK4:DK9" si="52">IF(DJ4="да",4,0)</f>
        <v>4</v>
      </c>
      <c r="DL4" s="133" t="s">
        <v>89</v>
      </c>
      <c r="DM4" s="135">
        <f t="shared" ref="DM4:DM9" si="53">IF(DL4="да",4,0)</f>
        <v>4</v>
      </c>
      <c r="DN4" s="129" t="s">
        <v>91</v>
      </c>
      <c r="DO4" s="129">
        <f t="shared" ref="DO4:DO9" si="54">IF(DN4="+",4,0)</f>
        <v>4</v>
      </c>
      <c r="DP4" s="129" t="s">
        <v>90</v>
      </c>
      <c r="DQ4" s="129">
        <f t="shared" ref="DQ4:DQ9" si="55">IF(DP4="+",0,0)</f>
        <v>0</v>
      </c>
      <c r="DR4" s="136">
        <f>(62.1+46.7+50)/3</f>
        <v>52.933333333333337</v>
      </c>
      <c r="DS4" s="105">
        <f t="shared" ref="DS4:DS9" si="56">IF(DR4&lt;=19.99,-4,IF(DR4&lt;=29.99,0,IF(DR4&lt;=49.99,2,IF(DR4&gt;=50,4))))</f>
        <v>4</v>
      </c>
      <c r="DT4" s="137">
        <v>84.200000000000003</v>
      </c>
      <c r="DU4" s="105">
        <f t="shared" ref="DU4:DU9" si="57">IF(DT4&lt;=9.99,-4,IF(DT4&lt;=29.99,1,IF(DT4&lt;=49.99,2,IF(DT4&gt;=50,4))))</f>
        <v>4</v>
      </c>
      <c r="DV4" s="138">
        <v>31.600000000000001</v>
      </c>
      <c r="DW4" s="139">
        <f t="shared" ref="DW4:DW9" si="58">IF(DV4&lt;=19.99,-2,IF(DV4&lt;=39.99,1,IF(DV4&lt;=54.99,2,IF(DV4&gt;=55,4))))</f>
        <v>1</v>
      </c>
      <c r="DX4" s="140">
        <v>52.600000000000001</v>
      </c>
      <c r="DY4" s="141">
        <f t="shared" ref="DY4:DY9" si="59">IF(DX4&lt;=9.99,-2,IF(DX4&lt;=29.99,1,IF(DX4&lt;=49.99,2,IF(DX4&gt;=50,4))))</f>
        <v>4</v>
      </c>
      <c r="DZ4" s="142">
        <f t="shared" ref="DZ4:DZ9" si="60">SUM(C4,E4,G4,I4,K4,M4,O4,Q4,S4,U4,W4,Y4,AA4,AC4,AE4,AG4,AI4,AM4,AO4,AQ4,AS4,AU4,AW4,AY4,BA4,BC4,BE4,BG4,BI4,BK4,BM4,BO4,BQ4,BT4,BV4,BX4,BZ4,CB4,CD4,CF4,CI4,CL4,CN4,CP4,CR4,CT4,CW4,CY4,DB4,DC4,DE4,DG4,DI4,DK4,DM4,DO4,DQ4,DS4,DU4,DW4,DY4)</f>
        <v>147.5</v>
      </c>
      <c r="EA4" s="143">
        <f t="shared" ref="EA4:EA9" si="61">RANK(DZ4,DZ$4:DZ$33,0)</f>
        <v>1</v>
      </c>
    </row>
    <row r="5" s="1" customFormat="1" ht="15">
      <c r="A5" s="104" t="s">
        <v>92</v>
      </c>
      <c r="B5" s="105" t="s">
        <v>89</v>
      </c>
      <c r="C5" s="105">
        <f t="shared" si="0"/>
        <v>4</v>
      </c>
      <c r="D5" s="105" t="s">
        <v>89</v>
      </c>
      <c r="E5" s="105">
        <f t="shared" si="1"/>
        <v>4</v>
      </c>
      <c r="F5" s="105" t="s">
        <v>90</v>
      </c>
      <c r="G5" s="105">
        <f t="shared" si="2"/>
        <v>0</v>
      </c>
      <c r="H5" s="105" t="s">
        <v>91</v>
      </c>
      <c r="I5" s="105">
        <f t="shared" si="3"/>
        <v>1</v>
      </c>
      <c r="J5" s="105" t="s">
        <v>90</v>
      </c>
      <c r="K5" s="105">
        <f t="shared" si="4"/>
        <v>0</v>
      </c>
      <c r="L5" s="105" t="s">
        <v>91</v>
      </c>
      <c r="M5" s="105">
        <f t="shared" si="5"/>
        <v>1</v>
      </c>
      <c r="N5" s="106" t="s">
        <v>89</v>
      </c>
      <c r="O5" s="105">
        <f t="shared" si="6"/>
        <v>4</v>
      </c>
      <c r="P5" s="105" t="s">
        <v>89</v>
      </c>
      <c r="Q5" s="105">
        <f t="shared" si="7"/>
        <v>0.5</v>
      </c>
      <c r="R5" s="105" t="s">
        <v>89</v>
      </c>
      <c r="S5" s="105">
        <f t="shared" si="8"/>
        <v>0.5</v>
      </c>
      <c r="T5" s="105" t="s">
        <v>89</v>
      </c>
      <c r="U5" s="105">
        <f t="shared" si="9"/>
        <v>0.5</v>
      </c>
      <c r="V5" s="105" t="s">
        <v>89</v>
      </c>
      <c r="W5" s="105">
        <f t="shared" si="10"/>
        <v>0.5</v>
      </c>
      <c r="X5" s="105" t="s">
        <v>89</v>
      </c>
      <c r="Y5" s="105">
        <f t="shared" si="11"/>
        <v>4</v>
      </c>
      <c r="Z5" s="105" t="s">
        <v>91</v>
      </c>
      <c r="AA5" s="105">
        <f t="shared" si="12"/>
        <v>0.5</v>
      </c>
      <c r="AB5" s="105" t="s">
        <v>89</v>
      </c>
      <c r="AC5" s="105">
        <f t="shared" si="13"/>
        <v>4</v>
      </c>
      <c r="AD5" s="105" t="s">
        <v>89</v>
      </c>
      <c r="AE5" s="105">
        <f t="shared" si="14"/>
        <v>4</v>
      </c>
      <c r="AF5" s="105">
        <v>11</v>
      </c>
      <c r="AG5" s="105">
        <f t="shared" si="15"/>
        <v>11</v>
      </c>
      <c r="AH5" s="105" t="s">
        <v>89</v>
      </c>
      <c r="AI5" s="105">
        <f t="shared" si="16"/>
        <v>4</v>
      </c>
      <c r="AJ5" s="105" t="s">
        <v>90</v>
      </c>
      <c r="AK5" s="107" t="s">
        <v>89</v>
      </c>
      <c r="AL5" s="108" t="s">
        <v>90</v>
      </c>
      <c r="AM5" s="109">
        <f t="shared" si="17"/>
        <v>0</v>
      </c>
      <c r="AN5" s="144">
        <v>99.299999999999997</v>
      </c>
      <c r="AO5" s="111">
        <f t="shared" si="18"/>
        <v>4</v>
      </c>
      <c r="AP5" s="112">
        <v>65</v>
      </c>
      <c r="AQ5" s="111">
        <f t="shared" si="19"/>
        <v>4</v>
      </c>
      <c r="AR5" s="110">
        <v>1.3999999999999999</v>
      </c>
      <c r="AS5" s="111">
        <f t="shared" si="20"/>
        <v>0</v>
      </c>
      <c r="AT5" s="110">
        <v>2</v>
      </c>
      <c r="AU5" s="113">
        <f t="shared" si="21"/>
        <v>0</v>
      </c>
      <c r="AV5" s="145">
        <v>6.7000000000000002</v>
      </c>
      <c r="AW5" s="105">
        <f t="shared" si="22"/>
        <v>2</v>
      </c>
      <c r="AX5" s="105" t="s">
        <v>89</v>
      </c>
      <c r="AY5" s="105">
        <f t="shared" si="23"/>
        <v>4</v>
      </c>
      <c r="AZ5" s="105" t="s">
        <v>89</v>
      </c>
      <c r="BA5" s="105">
        <f t="shared" si="24"/>
        <v>0.5</v>
      </c>
      <c r="BB5" s="105" t="s">
        <v>89</v>
      </c>
      <c r="BC5" s="105">
        <f t="shared" si="25"/>
        <v>0.5</v>
      </c>
      <c r="BD5" s="105" t="s">
        <v>89</v>
      </c>
      <c r="BE5" s="105">
        <f t="shared" si="26"/>
        <v>0.5</v>
      </c>
      <c r="BF5" s="105" t="s">
        <v>89</v>
      </c>
      <c r="BG5" s="105">
        <f t="shared" si="27"/>
        <v>0.5</v>
      </c>
      <c r="BH5" s="105" t="s">
        <v>89</v>
      </c>
      <c r="BI5" s="105">
        <f t="shared" si="28"/>
        <v>0.5</v>
      </c>
      <c r="BJ5" s="105" t="s">
        <v>89</v>
      </c>
      <c r="BK5" s="105">
        <f t="shared" si="29"/>
        <v>4</v>
      </c>
      <c r="BL5" s="105" t="s">
        <v>90</v>
      </c>
      <c r="BM5" s="105">
        <f t="shared" si="30"/>
        <v>0</v>
      </c>
      <c r="BN5" s="105" t="s">
        <v>90</v>
      </c>
      <c r="BO5" s="105">
        <f t="shared" si="31"/>
        <v>0</v>
      </c>
      <c r="BP5" s="105" t="s">
        <v>91</v>
      </c>
      <c r="BQ5" s="107">
        <f t="shared" si="32"/>
        <v>1.5</v>
      </c>
      <c r="BR5" s="114">
        <v>3303</v>
      </c>
      <c r="BS5" s="115">
        <v>3594.7999999999997</v>
      </c>
      <c r="BT5" s="116">
        <f t="shared" si="33"/>
        <v>4</v>
      </c>
      <c r="BU5" s="117" t="s">
        <v>91</v>
      </c>
      <c r="BV5" s="117">
        <f t="shared" si="34"/>
        <v>6</v>
      </c>
      <c r="BW5" s="117" t="s">
        <v>90</v>
      </c>
      <c r="BX5" s="117">
        <f t="shared" si="35"/>
        <v>0</v>
      </c>
      <c r="BY5" s="117" t="s">
        <v>90</v>
      </c>
      <c r="BZ5" s="117">
        <f t="shared" si="36"/>
        <v>0</v>
      </c>
      <c r="CA5" s="117" t="s">
        <v>90</v>
      </c>
      <c r="CB5" s="117">
        <f t="shared" si="37"/>
        <v>0</v>
      </c>
      <c r="CC5" s="117" t="s">
        <v>90</v>
      </c>
      <c r="CD5" s="117">
        <f t="shared" si="38"/>
        <v>0</v>
      </c>
      <c r="CE5" s="117" t="s">
        <v>90</v>
      </c>
      <c r="CF5" s="117">
        <f t="shared" si="39"/>
        <v>0</v>
      </c>
      <c r="CG5" s="118">
        <v>277.13</v>
      </c>
      <c r="CH5" s="119">
        <v>215.72999999999999</v>
      </c>
      <c r="CI5" s="120">
        <f t="shared" si="40"/>
        <v>-2</v>
      </c>
      <c r="CJ5" s="121">
        <v>141958</v>
      </c>
      <c r="CK5" s="121">
        <v>137292.91</v>
      </c>
      <c r="CL5" s="122">
        <f t="shared" si="41"/>
        <v>-2</v>
      </c>
      <c r="CM5" s="123" t="s">
        <v>90</v>
      </c>
      <c r="CN5" s="123">
        <f t="shared" si="42"/>
        <v>0</v>
      </c>
      <c r="CO5" s="123" t="s">
        <v>91</v>
      </c>
      <c r="CP5" s="123">
        <f t="shared" si="43"/>
        <v>4</v>
      </c>
      <c r="CQ5" s="123" t="s">
        <v>90</v>
      </c>
      <c r="CR5" s="123">
        <f t="shared" si="44"/>
        <v>0</v>
      </c>
      <c r="CS5" s="123" t="s">
        <v>90</v>
      </c>
      <c r="CT5" s="124">
        <f t="shared" si="45"/>
        <v>0</v>
      </c>
      <c r="CU5" s="146">
        <v>1346.2139999999999</v>
      </c>
      <c r="CV5" s="121">
        <v>461.01999999999998</v>
      </c>
      <c r="CW5" s="125">
        <f t="shared" si="46"/>
        <v>-2</v>
      </c>
      <c r="CX5" s="147">
        <v>119.7</v>
      </c>
      <c r="CY5" s="127">
        <f t="shared" si="47"/>
        <v>6</v>
      </c>
      <c r="CZ5" s="148">
        <v>558485</v>
      </c>
      <c r="DA5" s="128">
        <v>853935</v>
      </c>
      <c r="DB5" s="127">
        <f t="shared" si="48"/>
        <v>6</v>
      </c>
      <c r="DC5" s="127">
        <v>4</v>
      </c>
      <c r="DD5" s="105" t="s">
        <v>89</v>
      </c>
      <c r="DE5" s="129">
        <f t="shared" si="49"/>
        <v>4</v>
      </c>
      <c r="DF5" s="105">
        <v>100</v>
      </c>
      <c r="DG5" s="131">
        <f t="shared" si="50"/>
        <v>4</v>
      </c>
      <c r="DH5" s="117" t="s">
        <v>57</v>
      </c>
      <c r="DI5" s="132">
        <f t="shared" si="51"/>
        <v>0</v>
      </c>
      <c r="DJ5" s="133" t="s">
        <v>89</v>
      </c>
      <c r="DK5" s="134">
        <f t="shared" si="52"/>
        <v>4</v>
      </c>
      <c r="DL5" s="133" t="s">
        <v>89</v>
      </c>
      <c r="DM5" s="135">
        <f t="shared" si="53"/>
        <v>4</v>
      </c>
      <c r="DN5" s="129" t="s">
        <v>90</v>
      </c>
      <c r="DO5" s="129">
        <f t="shared" si="54"/>
        <v>0</v>
      </c>
      <c r="DP5" s="129" t="s">
        <v>90</v>
      </c>
      <c r="DQ5" s="129">
        <f t="shared" si="55"/>
        <v>0</v>
      </c>
      <c r="DR5" s="136">
        <f>(53+51.7+52.6)/3</f>
        <v>52.433333333333337</v>
      </c>
      <c r="DS5" s="106">
        <f t="shared" si="56"/>
        <v>4</v>
      </c>
      <c r="DT5" s="149">
        <v>91.700000000000003</v>
      </c>
      <c r="DU5" s="106">
        <f t="shared" si="57"/>
        <v>4</v>
      </c>
      <c r="DV5" s="138">
        <v>83.299999999999997</v>
      </c>
      <c r="DW5" s="139">
        <f t="shared" si="58"/>
        <v>4</v>
      </c>
      <c r="DX5" s="150">
        <v>79.200000000000003</v>
      </c>
      <c r="DY5" s="106">
        <f t="shared" si="59"/>
        <v>4</v>
      </c>
      <c r="DZ5" s="142">
        <f t="shared" si="60"/>
        <v>121.5</v>
      </c>
      <c r="EA5" s="143">
        <f t="shared" si="61"/>
        <v>2</v>
      </c>
    </row>
    <row r="6" s="1" customFormat="1" ht="15">
      <c r="A6" s="151" t="s">
        <v>93</v>
      </c>
      <c r="B6" s="105" t="s">
        <v>89</v>
      </c>
      <c r="C6" s="152">
        <f t="shared" si="0"/>
        <v>4</v>
      </c>
      <c r="D6" s="105" t="s">
        <v>89</v>
      </c>
      <c r="E6" s="152">
        <f t="shared" si="1"/>
        <v>4</v>
      </c>
      <c r="F6" s="152" t="s">
        <v>90</v>
      </c>
      <c r="G6" s="152">
        <f t="shared" si="2"/>
        <v>0</v>
      </c>
      <c r="H6" s="152" t="s">
        <v>91</v>
      </c>
      <c r="I6" s="152">
        <f t="shared" si="3"/>
        <v>1</v>
      </c>
      <c r="J6" s="152" t="s">
        <v>90</v>
      </c>
      <c r="K6" s="152">
        <f t="shared" si="4"/>
        <v>0</v>
      </c>
      <c r="L6" s="152" t="s">
        <v>91</v>
      </c>
      <c r="M6" s="152">
        <f t="shared" si="5"/>
        <v>1</v>
      </c>
      <c r="N6" s="105" t="s">
        <v>89</v>
      </c>
      <c r="O6" s="152">
        <f t="shared" si="6"/>
        <v>4</v>
      </c>
      <c r="P6" s="105" t="s">
        <v>89</v>
      </c>
      <c r="Q6" s="152">
        <f t="shared" si="7"/>
        <v>0.5</v>
      </c>
      <c r="R6" s="152" t="s">
        <v>89</v>
      </c>
      <c r="S6" s="152">
        <f t="shared" si="8"/>
        <v>0.5</v>
      </c>
      <c r="T6" s="152" t="s">
        <v>89</v>
      </c>
      <c r="U6" s="152">
        <f t="shared" si="9"/>
        <v>0.5</v>
      </c>
      <c r="V6" s="152" t="s">
        <v>89</v>
      </c>
      <c r="W6" s="152">
        <f t="shared" si="10"/>
        <v>0.5</v>
      </c>
      <c r="X6" s="152" t="s">
        <v>89</v>
      </c>
      <c r="Y6" s="152">
        <f t="shared" si="11"/>
        <v>4</v>
      </c>
      <c r="Z6" s="152" t="s">
        <v>91</v>
      </c>
      <c r="AA6" s="152">
        <f t="shared" si="12"/>
        <v>0.5</v>
      </c>
      <c r="AB6" s="152" t="s">
        <v>89</v>
      </c>
      <c r="AC6" s="152">
        <f t="shared" si="13"/>
        <v>4</v>
      </c>
      <c r="AD6" s="105" t="s">
        <v>89</v>
      </c>
      <c r="AE6" s="152">
        <f t="shared" si="14"/>
        <v>4</v>
      </c>
      <c r="AF6" s="152">
        <v>7</v>
      </c>
      <c r="AG6" s="152">
        <f t="shared" si="15"/>
        <v>7</v>
      </c>
      <c r="AH6" s="152" t="s">
        <v>89</v>
      </c>
      <c r="AI6" s="152">
        <f t="shared" si="16"/>
        <v>4</v>
      </c>
      <c r="AJ6" s="105" t="s">
        <v>57</v>
      </c>
      <c r="AK6" s="107" t="s">
        <v>90</v>
      </c>
      <c r="AL6" s="108" t="s">
        <v>90</v>
      </c>
      <c r="AM6" s="109">
        <f t="shared" si="17"/>
        <v>4</v>
      </c>
      <c r="AN6" s="110">
        <v>74.200000000000003</v>
      </c>
      <c r="AO6" s="111">
        <f t="shared" si="18"/>
        <v>4</v>
      </c>
      <c r="AP6" s="112">
        <v>73.400000000000006</v>
      </c>
      <c r="AQ6" s="153">
        <f t="shared" si="19"/>
        <v>4</v>
      </c>
      <c r="AR6" s="110">
        <v>1.8999999999999999</v>
      </c>
      <c r="AS6" s="111">
        <f t="shared" si="20"/>
        <v>0</v>
      </c>
      <c r="AT6" s="110">
        <v>1.8</v>
      </c>
      <c r="AU6" s="154">
        <f t="shared" si="21"/>
        <v>0</v>
      </c>
      <c r="AV6">
        <v>10.4</v>
      </c>
      <c r="AW6" s="152">
        <f t="shared" si="22"/>
        <v>0</v>
      </c>
      <c r="AX6" s="152" t="s">
        <v>89</v>
      </c>
      <c r="AY6" s="152">
        <f t="shared" si="23"/>
        <v>4</v>
      </c>
      <c r="AZ6" s="152" t="s">
        <v>89</v>
      </c>
      <c r="BA6" s="152">
        <f t="shared" si="24"/>
        <v>0.5</v>
      </c>
      <c r="BB6" s="152" t="s">
        <v>89</v>
      </c>
      <c r="BC6" s="152">
        <f t="shared" si="25"/>
        <v>0.5</v>
      </c>
      <c r="BD6" s="152" t="s">
        <v>89</v>
      </c>
      <c r="BE6" s="152">
        <f t="shared" si="26"/>
        <v>0.5</v>
      </c>
      <c r="BF6" s="152" t="s">
        <v>89</v>
      </c>
      <c r="BG6" s="152">
        <f t="shared" si="27"/>
        <v>0.5</v>
      </c>
      <c r="BH6" s="152" t="s">
        <v>89</v>
      </c>
      <c r="BI6" s="152">
        <f t="shared" si="28"/>
        <v>0.5</v>
      </c>
      <c r="BJ6" s="152" t="s">
        <v>89</v>
      </c>
      <c r="BK6" s="152">
        <f t="shared" si="29"/>
        <v>4</v>
      </c>
      <c r="BL6" s="152" t="s">
        <v>90</v>
      </c>
      <c r="BM6" s="152">
        <f t="shared" si="30"/>
        <v>0</v>
      </c>
      <c r="BN6" s="152" t="s">
        <v>90</v>
      </c>
      <c r="BO6" s="152">
        <f t="shared" si="31"/>
        <v>0</v>
      </c>
      <c r="BP6" s="152" t="s">
        <v>91</v>
      </c>
      <c r="BQ6" s="155">
        <f t="shared" si="32"/>
        <v>1.5</v>
      </c>
      <c r="BR6" s="114">
        <v>3118</v>
      </c>
      <c r="BS6" s="115">
        <v>3297</v>
      </c>
      <c r="BT6" s="116">
        <f t="shared" si="33"/>
        <v>4</v>
      </c>
      <c r="BU6" s="117" t="s">
        <v>91</v>
      </c>
      <c r="BV6" s="117">
        <f t="shared" si="34"/>
        <v>6</v>
      </c>
      <c r="BW6" s="117" t="s">
        <v>90</v>
      </c>
      <c r="BX6" s="117">
        <f t="shared" si="35"/>
        <v>0</v>
      </c>
      <c r="BY6" s="117" t="s">
        <v>90</v>
      </c>
      <c r="BZ6" s="117">
        <f t="shared" si="36"/>
        <v>0</v>
      </c>
      <c r="CA6" s="117" t="s">
        <v>90</v>
      </c>
      <c r="CB6" s="117">
        <f t="shared" si="37"/>
        <v>0</v>
      </c>
      <c r="CC6" s="117" t="s">
        <v>90</v>
      </c>
      <c r="CD6" s="117">
        <f t="shared" si="38"/>
        <v>0</v>
      </c>
      <c r="CE6" s="117" t="s">
        <v>90</v>
      </c>
      <c r="CF6" s="117">
        <f t="shared" si="39"/>
        <v>0</v>
      </c>
      <c r="CG6" s="118">
        <v>277.13</v>
      </c>
      <c r="CH6" s="119">
        <v>227.88</v>
      </c>
      <c r="CI6" s="120">
        <f t="shared" si="40"/>
        <v>-2</v>
      </c>
      <c r="CJ6" s="121">
        <v>137134</v>
      </c>
      <c r="CK6" s="121">
        <v>158985.57000000001</v>
      </c>
      <c r="CL6" s="122">
        <f t="shared" si="41"/>
        <v>4</v>
      </c>
      <c r="CM6" s="123" t="s">
        <v>90</v>
      </c>
      <c r="CN6" s="123">
        <f t="shared" si="42"/>
        <v>0</v>
      </c>
      <c r="CO6" s="123" t="s">
        <v>91</v>
      </c>
      <c r="CP6" s="123">
        <f t="shared" si="43"/>
        <v>4</v>
      </c>
      <c r="CQ6" s="123" t="s">
        <v>90</v>
      </c>
      <c r="CR6" s="123">
        <f t="shared" si="44"/>
        <v>0</v>
      </c>
      <c r="CS6" s="123" t="s">
        <v>90</v>
      </c>
      <c r="CT6" s="124">
        <f t="shared" si="45"/>
        <v>0</v>
      </c>
      <c r="CU6" s="121">
        <v>1881.241</v>
      </c>
      <c r="CV6" s="121">
        <v>553.25999999999999</v>
      </c>
      <c r="CW6" s="125">
        <f t="shared" si="46"/>
        <v>-2</v>
      </c>
      <c r="CX6" s="147">
        <v>119.59999999999999</v>
      </c>
      <c r="CY6" s="127">
        <f t="shared" si="47"/>
        <v>6</v>
      </c>
      <c r="CZ6" s="128">
        <v>1587761</v>
      </c>
      <c r="DA6" s="128">
        <v>1662311</v>
      </c>
      <c r="DB6" s="127">
        <f t="shared" si="48"/>
        <v>4</v>
      </c>
      <c r="DC6" s="127">
        <v>4</v>
      </c>
      <c r="DD6" s="105" t="s">
        <v>89</v>
      </c>
      <c r="DE6" s="156">
        <f t="shared" si="49"/>
        <v>4</v>
      </c>
      <c r="DF6" s="157">
        <v>92.200000000000003</v>
      </c>
      <c r="DG6" s="131">
        <f t="shared" si="50"/>
        <v>4</v>
      </c>
      <c r="DH6" s="117" t="s">
        <v>57</v>
      </c>
      <c r="DI6" s="132">
        <f t="shared" si="51"/>
        <v>0</v>
      </c>
      <c r="DJ6" s="133" t="s">
        <v>89</v>
      </c>
      <c r="DK6" s="158">
        <f t="shared" si="52"/>
        <v>4</v>
      </c>
      <c r="DL6" s="133" t="s">
        <v>89</v>
      </c>
      <c r="DM6" s="159">
        <f t="shared" si="53"/>
        <v>4</v>
      </c>
      <c r="DN6" s="129" t="s">
        <v>90</v>
      </c>
      <c r="DO6" s="156">
        <f t="shared" si="54"/>
        <v>0</v>
      </c>
      <c r="DP6" s="129" t="s">
        <v>90</v>
      </c>
      <c r="DQ6" s="156">
        <f t="shared" si="55"/>
        <v>0</v>
      </c>
      <c r="DR6" s="136">
        <f>(58+58.8+54.9)/3</f>
        <v>57.233333333333327</v>
      </c>
      <c r="DS6" s="105">
        <f t="shared" si="56"/>
        <v>4</v>
      </c>
      <c r="DT6" s="137">
        <v>71.400000000000006</v>
      </c>
      <c r="DU6" s="105">
        <f t="shared" si="57"/>
        <v>4</v>
      </c>
      <c r="DV6" s="138">
        <v>28.600000000000001</v>
      </c>
      <c r="DW6" s="139">
        <f t="shared" si="58"/>
        <v>1</v>
      </c>
      <c r="DX6" s="150">
        <v>57.100000000000001</v>
      </c>
      <c r="DY6" s="141">
        <f t="shared" si="59"/>
        <v>4</v>
      </c>
      <c r="DZ6" s="142">
        <f t="shared" si="60"/>
        <v>120.5</v>
      </c>
      <c r="EA6" s="143">
        <f t="shared" si="61"/>
        <v>3</v>
      </c>
    </row>
    <row r="7" s="160" customFormat="1" ht="15">
      <c r="A7" s="161" t="s">
        <v>94</v>
      </c>
      <c r="B7" s="105" t="s">
        <v>89</v>
      </c>
      <c r="C7" s="162">
        <f t="shared" si="0"/>
        <v>4</v>
      </c>
      <c r="D7" s="105" t="s">
        <v>89</v>
      </c>
      <c r="E7" s="162">
        <f t="shared" si="1"/>
        <v>4</v>
      </c>
      <c r="F7" s="162" t="s">
        <v>90</v>
      </c>
      <c r="G7" s="162">
        <f t="shared" si="2"/>
        <v>0</v>
      </c>
      <c r="H7" s="162" t="s">
        <v>91</v>
      </c>
      <c r="I7" s="162">
        <f t="shared" si="3"/>
        <v>1</v>
      </c>
      <c r="J7" s="162" t="s">
        <v>90</v>
      </c>
      <c r="K7" s="162">
        <f t="shared" si="4"/>
        <v>0</v>
      </c>
      <c r="L7" s="162" t="s">
        <v>91</v>
      </c>
      <c r="M7" s="162">
        <f t="shared" si="5"/>
        <v>1</v>
      </c>
      <c r="N7" s="106" t="s">
        <v>89</v>
      </c>
      <c r="O7" s="162">
        <f t="shared" si="6"/>
        <v>4</v>
      </c>
      <c r="P7" s="106" t="s">
        <v>89</v>
      </c>
      <c r="Q7" s="162">
        <f t="shared" si="7"/>
        <v>0.5</v>
      </c>
      <c r="R7" s="152" t="s">
        <v>89</v>
      </c>
      <c r="S7" s="162">
        <f t="shared" si="8"/>
        <v>0.5</v>
      </c>
      <c r="T7" s="152" t="s">
        <v>89</v>
      </c>
      <c r="U7" s="162">
        <f t="shared" si="9"/>
        <v>0.5</v>
      </c>
      <c r="V7" s="152" t="s">
        <v>89</v>
      </c>
      <c r="W7" s="162">
        <f t="shared" si="10"/>
        <v>0.5</v>
      </c>
      <c r="X7" s="163" t="s">
        <v>89</v>
      </c>
      <c r="Y7" s="162">
        <f t="shared" si="11"/>
        <v>4</v>
      </c>
      <c r="Z7" s="162" t="s">
        <v>91</v>
      </c>
      <c r="AA7" s="162">
        <f t="shared" si="12"/>
        <v>0.5</v>
      </c>
      <c r="AB7" s="163" t="s">
        <v>89</v>
      </c>
      <c r="AC7" s="162">
        <f t="shared" si="13"/>
        <v>4</v>
      </c>
      <c r="AD7" s="105" t="s">
        <v>89</v>
      </c>
      <c r="AE7" s="162">
        <f t="shared" si="14"/>
        <v>4</v>
      </c>
      <c r="AF7" s="162">
        <v>2</v>
      </c>
      <c r="AG7" s="162">
        <f t="shared" si="15"/>
        <v>2</v>
      </c>
      <c r="AH7" s="163" t="s">
        <v>89</v>
      </c>
      <c r="AI7" s="162">
        <f t="shared" si="16"/>
        <v>4</v>
      </c>
      <c r="AJ7" s="105" t="s">
        <v>90</v>
      </c>
      <c r="AK7" s="107" t="s">
        <v>89</v>
      </c>
      <c r="AL7" s="108" t="s">
        <v>90</v>
      </c>
      <c r="AM7" s="109">
        <f t="shared" si="17"/>
        <v>0</v>
      </c>
      <c r="AN7" s="110">
        <v>97.299999999999997</v>
      </c>
      <c r="AO7" s="111">
        <f t="shared" si="18"/>
        <v>4</v>
      </c>
      <c r="AP7" s="112">
        <v>70.400000000000006</v>
      </c>
      <c r="AQ7" s="164">
        <f t="shared" si="19"/>
        <v>4</v>
      </c>
      <c r="AR7" s="110">
        <v>1.2</v>
      </c>
      <c r="AS7" s="111">
        <f t="shared" si="20"/>
        <v>0</v>
      </c>
      <c r="AT7" s="110">
        <v>2.6000000000000001</v>
      </c>
      <c r="AU7" s="165">
        <f t="shared" si="21"/>
        <v>0</v>
      </c>
      <c r="AV7" s="145">
        <v>6.2000000000000002</v>
      </c>
      <c r="AW7" s="162">
        <f t="shared" si="22"/>
        <v>2</v>
      </c>
      <c r="AX7" s="163" t="s">
        <v>89</v>
      </c>
      <c r="AY7" s="162">
        <f t="shared" si="23"/>
        <v>4</v>
      </c>
      <c r="AZ7" s="163" t="s">
        <v>89</v>
      </c>
      <c r="BA7" s="162">
        <f t="shared" si="24"/>
        <v>0.5</v>
      </c>
      <c r="BB7" s="152" t="s">
        <v>89</v>
      </c>
      <c r="BC7" s="162">
        <f t="shared" si="25"/>
        <v>0.5</v>
      </c>
      <c r="BD7" s="152" t="s">
        <v>89</v>
      </c>
      <c r="BE7" s="162">
        <f t="shared" si="26"/>
        <v>0.5</v>
      </c>
      <c r="BF7" s="152" t="s">
        <v>89</v>
      </c>
      <c r="BG7" s="162">
        <f t="shared" si="27"/>
        <v>0.5</v>
      </c>
      <c r="BH7" s="152" t="s">
        <v>89</v>
      </c>
      <c r="BI7" s="162">
        <f t="shared" si="28"/>
        <v>0.5</v>
      </c>
      <c r="BJ7" s="152" t="s">
        <v>89</v>
      </c>
      <c r="BK7" s="162">
        <f t="shared" si="29"/>
        <v>4</v>
      </c>
      <c r="BL7" s="162" t="s">
        <v>90</v>
      </c>
      <c r="BM7" s="162">
        <f t="shared" si="30"/>
        <v>0</v>
      </c>
      <c r="BN7" s="162" t="s">
        <v>90</v>
      </c>
      <c r="BO7" s="162">
        <f t="shared" si="31"/>
        <v>0</v>
      </c>
      <c r="BP7" s="162" t="s">
        <v>91</v>
      </c>
      <c r="BQ7" s="166">
        <f t="shared" si="32"/>
        <v>1.5</v>
      </c>
      <c r="BR7" s="114">
        <v>2593.5999999999999</v>
      </c>
      <c r="BS7" s="115">
        <v>3843.3999999999996</v>
      </c>
      <c r="BT7" s="116">
        <f t="shared" si="33"/>
        <v>4</v>
      </c>
      <c r="BU7" s="117" t="s">
        <v>91</v>
      </c>
      <c r="BV7" s="117">
        <f t="shared" si="34"/>
        <v>6</v>
      </c>
      <c r="BW7" s="117" t="s">
        <v>90</v>
      </c>
      <c r="BX7" s="117">
        <f t="shared" si="35"/>
        <v>0</v>
      </c>
      <c r="BY7" s="117" t="s">
        <v>90</v>
      </c>
      <c r="BZ7" s="117">
        <f t="shared" si="36"/>
        <v>0</v>
      </c>
      <c r="CA7" s="117" t="s">
        <v>90</v>
      </c>
      <c r="CB7" s="117">
        <f t="shared" si="37"/>
        <v>0</v>
      </c>
      <c r="CC7" s="6" t="s">
        <v>91</v>
      </c>
      <c r="CD7" s="117">
        <f t="shared" si="38"/>
        <v>0.5</v>
      </c>
      <c r="CE7" s="6" t="s">
        <v>90</v>
      </c>
      <c r="CF7" s="117">
        <f t="shared" si="39"/>
        <v>0</v>
      </c>
      <c r="CG7" s="118">
        <v>277.13</v>
      </c>
      <c r="CH7" s="119">
        <v>209.77000000000001</v>
      </c>
      <c r="CI7" s="120">
        <f t="shared" si="40"/>
        <v>-2</v>
      </c>
      <c r="CJ7" s="121">
        <v>132779</v>
      </c>
      <c r="CK7" s="121">
        <v>235759.39000000001</v>
      </c>
      <c r="CL7" s="122">
        <f t="shared" si="41"/>
        <v>4</v>
      </c>
      <c r="CM7" s="123" t="s">
        <v>90</v>
      </c>
      <c r="CN7" s="123">
        <f t="shared" si="42"/>
        <v>0</v>
      </c>
      <c r="CO7" s="123" t="s">
        <v>91</v>
      </c>
      <c r="CP7" s="123">
        <f t="shared" si="43"/>
        <v>4</v>
      </c>
      <c r="CQ7" s="123" t="s">
        <v>90</v>
      </c>
      <c r="CR7" s="123">
        <f t="shared" si="44"/>
        <v>0</v>
      </c>
      <c r="CS7" s="123" t="s">
        <v>90</v>
      </c>
      <c r="CT7" s="124">
        <f t="shared" si="45"/>
        <v>0</v>
      </c>
      <c r="CU7" s="121">
        <v>785.56899999999996</v>
      </c>
      <c r="CV7" s="121">
        <v>293.37</v>
      </c>
      <c r="CW7" s="125">
        <f t="shared" si="46"/>
        <v>-2</v>
      </c>
      <c r="CX7" s="147">
        <v>121.59999999999999</v>
      </c>
      <c r="CY7" s="127">
        <f t="shared" si="47"/>
        <v>6</v>
      </c>
      <c r="CZ7" s="128">
        <v>986926</v>
      </c>
      <c r="DA7" s="128">
        <v>1228518</v>
      </c>
      <c r="DB7" s="127">
        <f t="shared" si="48"/>
        <v>6</v>
      </c>
      <c r="DC7" s="127">
        <v>4</v>
      </c>
      <c r="DD7" s="105" t="s">
        <v>89</v>
      </c>
      <c r="DE7" s="167">
        <f t="shared" si="49"/>
        <v>4</v>
      </c>
      <c r="DF7" s="157">
        <v>88.599999999999994</v>
      </c>
      <c r="DG7" s="131">
        <f t="shared" si="50"/>
        <v>4</v>
      </c>
      <c r="DH7" s="117" t="s">
        <v>89</v>
      </c>
      <c r="DI7" s="132">
        <f t="shared" si="51"/>
        <v>1</v>
      </c>
      <c r="DJ7" s="133" t="s">
        <v>89</v>
      </c>
      <c r="DK7" s="168">
        <f t="shared" si="52"/>
        <v>4</v>
      </c>
      <c r="DL7" s="133" t="s">
        <v>89</v>
      </c>
      <c r="DM7" s="169">
        <f t="shared" si="53"/>
        <v>4</v>
      </c>
      <c r="DN7" s="131" t="s">
        <v>90</v>
      </c>
      <c r="DO7" s="170">
        <f t="shared" si="54"/>
        <v>0</v>
      </c>
      <c r="DP7" s="135" t="s">
        <v>90</v>
      </c>
      <c r="DQ7" s="167">
        <f t="shared" si="55"/>
        <v>0</v>
      </c>
      <c r="DR7" s="136">
        <f>(100+100+100)/3</f>
        <v>100</v>
      </c>
      <c r="DS7" s="106">
        <f t="shared" si="56"/>
        <v>4</v>
      </c>
      <c r="DT7" s="149">
        <v>96.5</v>
      </c>
      <c r="DU7" s="106">
        <f t="shared" si="57"/>
        <v>4</v>
      </c>
      <c r="DV7" s="138">
        <v>92.900000000000006</v>
      </c>
      <c r="DW7" s="139">
        <f t="shared" si="58"/>
        <v>4</v>
      </c>
      <c r="DX7" s="150">
        <v>67.099999999999994</v>
      </c>
      <c r="DY7" s="106">
        <f t="shared" si="59"/>
        <v>4</v>
      </c>
      <c r="DZ7" s="142">
        <f t="shared" si="60"/>
        <v>120</v>
      </c>
      <c r="EA7" s="143">
        <f t="shared" si="61"/>
        <v>4</v>
      </c>
    </row>
    <row r="8" s="171" customFormat="1" ht="15" customHeight="1">
      <c r="A8" s="104" t="s">
        <v>95</v>
      </c>
      <c r="B8" s="105" t="s">
        <v>89</v>
      </c>
      <c r="C8" s="105">
        <f t="shared" si="0"/>
        <v>4</v>
      </c>
      <c r="D8" s="105" t="s">
        <v>89</v>
      </c>
      <c r="E8" s="105">
        <f t="shared" si="1"/>
        <v>4</v>
      </c>
      <c r="F8" s="105" t="s">
        <v>91</v>
      </c>
      <c r="G8" s="105">
        <f t="shared" si="2"/>
        <v>0.5</v>
      </c>
      <c r="H8" s="105" t="s">
        <v>90</v>
      </c>
      <c r="I8" s="105">
        <f t="shared" si="3"/>
        <v>0</v>
      </c>
      <c r="J8" s="105" t="s">
        <v>91</v>
      </c>
      <c r="K8" s="105">
        <f t="shared" si="4"/>
        <v>0.5</v>
      </c>
      <c r="L8" s="105" t="s">
        <v>90</v>
      </c>
      <c r="M8" s="105">
        <f t="shared" si="5"/>
        <v>0</v>
      </c>
      <c r="N8" s="105" t="s">
        <v>89</v>
      </c>
      <c r="O8" s="105">
        <f t="shared" si="6"/>
        <v>4</v>
      </c>
      <c r="P8" s="105" t="s">
        <v>89</v>
      </c>
      <c r="Q8" s="105">
        <f t="shared" si="7"/>
        <v>0.5</v>
      </c>
      <c r="R8" s="105" t="s">
        <v>89</v>
      </c>
      <c r="S8" s="105">
        <f t="shared" si="8"/>
        <v>0.5</v>
      </c>
      <c r="T8" s="105" t="s">
        <v>89</v>
      </c>
      <c r="U8" s="105">
        <f t="shared" si="9"/>
        <v>0.5</v>
      </c>
      <c r="V8" s="105" t="s">
        <v>89</v>
      </c>
      <c r="W8" s="105">
        <f t="shared" si="10"/>
        <v>0.5</v>
      </c>
      <c r="X8" s="105" t="s">
        <v>89</v>
      </c>
      <c r="Y8" s="105">
        <f t="shared" si="11"/>
        <v>4</v>
      </c>
      <c r="Z8" s="105" t="s">
        <v>91</v>
      </c>
      <c r="AA8" s="105">
        <f t="shared" si="12"/>
        <v>0.5</v>
      </c>
      <c r="AB8" s="105" t="s">
        <v>89</v>
      </c>
      <c r="AC8" s="105">
        <f t="shared" si="13"/>
        <v>4</v>
      </c>
      <c r="AD8" s="105" t="s">
        <v>89</v>
      </c>
      <c r="AE8" s="105">
        <f t="shared" si="14"/>
        <v>4</v>
      </c>
      <c r="AF8" s="105">
        <v>7</v>
      </c>
      <c r="AG8" s="105">
        <f t="shared" si="15"/>
        <v>7</v>
      </c>
      <c r="AH8" s="105" t="s">
        <v>89</v>
      </c>
      <c r="AI8" s="105">
        <f t="shared" si="16"/>
        <v>4</v>
      </c>
      <c r="AJ8" s="105" t="s">
        <v>57</v>
      </c>
      <c r="AK8" s="107" t="s">
        <v>90</v>
      </c>
      <c r="AL8" s="108" t="s">
        <v>90</v>
      </c>
      <c r="AM8" s="109">
        <f t="shared" si="17"/>
        <v>4</v>
      </c>
      <c r="AN8" s="172" t="s">
        <v>90</v>
      </c>
      <c r="AO8" s="111">
        <v>-2</v>
      </c>
      <c r="AP8" s="112">
        <v>71.5</v>
      </c>
      <c r="AQ8" s="111">
        <f t="shared" si="19"/>
        <v>4</v>
      </c>
      <c r="AR8" s="110">
        <v>1</v>
      </c>
      <c r="AS8" s="111">
        <f t="shared" si="20"/>
        <v>0</v>
      </c>
      <c r="AT8" s="110">
        <v>2</v>
      </c>
      <c r="AU8" s="113">
        <f>IF(AT8&lt;=0.99,-2,IF(AT8&lt;=2.99,0,IF(AT8&gt;=3,4)))</f>
        <v>0</v>
      </c>
      <c r="AV8">
        <v>5</v>
      </c>
      <c r="AW8" s="105">
        <f t="shared" si="22"/>
        <v>2</v>
      </c>
      <c r="AX8" s="105" t="s">
        <v>89</v>
      </c>
      <c r="AY8" s="105">
        <f t="shared" si="23"/>
        <v>4</v>
      </c>
      <c r="AZ8" s="105" t="s">
        <v>89</v>
      </c>
      <c r="BA8" s="105">
        <f t="shared" si="24"/>
        <v>0.5</v>
      </c>
      <c r="BB8" s="105" t="s">
        <v>89</v>
      </c>
      <c r="BC8" s="105">
        <f t="shared" si="25"/>
        <v>0.5</v>
      </c>
      <c r="BD8" s="105" t="s">
        <v>89</v>
      </c>
      <c r="BE8" s="105">
        <f t="shared" si="26"/>
        <v>0.5</v>
      </c>
      <c r="BF8" s="105" t="s">
        <v>89</v>
      </c>
      <c r="BG8" s="105">
        <f t="shared" si="27"/>
        <v>0.5</v>
      </c>
      <c r="BH8" s="105" t="s">
        <v>89</v>
      </c>
      <c r="BI8" s="105">
        <f t="shared" si="28"/>
        <v>0.5</v>
      </c>
      <c r="BJ8" s="105" t="s">
        <v>89</v>
      </c>
      <c r="BK8" s="105">
        <f t="shared" si="29"/>
        <v>4</v>
      </c>
      <c r="BL8" s="105" t="s">
        <v>91</v>
      </c>
      <c r="BM8" s="105">
        <f t="shared" si="30"/>
        <v>0.5</v>
      </c>
      <c r="BN8" s="105" t="s">
        <v>90</v>
      </c>
      <c r="BO8" s="105">
        <f t="shared" si="31"/>
        <v>0</v>
      </c>
      <c r="BP8" s="105" t="s">
        <v>90</v>
      </c>
      <c r="BQ8" s="107">
        <f t="shared" si="32"/>
        <v>0</v>
      </c>
      <c r="BR8" s="114">
        <v>1215.5999999999999</v>
      </c>
      <c r="BS8" s="115">
        <v>1657.3</v>
      </c>
      <c r="BT8" s="116">
        <f t="shared" si="33"/>
        <v>4</v>
      </c>
      <c r="BU8" s="117" t="s">
        <v>91</v>
      </c>
      <c r="BV8" s="117">
        <f t="shared" si="34"/>
        <v>6</v>
      </c>
      <c r="BW8" s="117" t="s">
        <v>90</v>
      </c>
      <c r="BX8" s="117">
        <f t="shared" si="35"/>
        <v>0</v>
      </c>
      <c r="BY8" s="117" t="s">
        <v>90</v>
      </c>
      <c r="BZ8" s="117">
        <f t="shared" si="36"/>
        <v>0</v>
      </c>
      <c r="CA8" s="117" t="s">
        <v>90</v>
      </c>
      <c r="CB8" s="117">
        <f t="shared" si="37"/>
        <v>0</v>
      </c>
      <c r="CC8" s="117" t="s">
        <v>90</v>
      </c>
      <c r="CD8" s="117">
        <f t="shared" si="38"/>
        <v>0</v>
      </c>
      <c r="CE8" s="117" t="s">
        <v>91</v>
      </c>
      <c r="CF8" s="117">
        <f t="shared" si="39"/>
        <v>4</v>
      </c>
      <c r="CG8" s="118">
        <v>277.13</v>
      </c>
      <c r="CH8" s="119">
        <v>209.99000000000001</v>
      </c>
      <c r="CI8" s="106">
        <f t="shared" si="40"/>
        <v>-2</v>
      </c>
      <c r="CJ8" s="121">
        <v>155417</v>
      </c>
      <c r="CK8" s="121">
        <v>175655.59</v>
      </c>
      <c r="CL8" s="122">
        <f t="shared" si="41"/>
        <v>4</v>
      </c>
      <c r="CM8" s="123" t="s">
        <v>90</v>
      </c>
      <c r="CN8" s="123">
        <f t="shared" si="42"/>
        <v>0</v>
      </c>
      <c r="CO8" s="123" t="s">
        <v>90</v>
      </c>
      <c r="CP8" s="123">
        <f t="shared" si="43"/>
        <v>0</v>
      </c>
      <c r="CQ8" s="123" t="s">
        <v>91</v>
      </c>
      <c r="CR8" s="123">
        <f t="shared" si="44"/>
        <v>0</v>
      </c>
      <c r="CS8" s="123" t="s">
        <v>90</v>
      </c>
      <c r="CT8" s="124">
        <f t="shared" si="45"/>
        <v>0</v>
      </c>
      <c r="CU8" s="146">
        <v>564.44500000000005</v>
      </c>
      <c r="CV8" s="121">
        <v>163.28999999999999</v>
      </c>
      <c r="CW8" s="125">
        <f t="shared" si="46"/>
        <v>-2</v>
      </c>
      <c r="CX8" s="147">
        <v>117.40000000000001</v>
      </c>
      <c r="CY8" s="127">
        <f t="shared" si="47"/>
        <v>6</v>
      </c>
      <c r="CZ8" s="148">
        <v>591645</v>
      </c>
      <c r="DA8" s="128">
        <v>737464</v>
      </c>
      <c r="DB8" s="127">
        <f t="shared" si="48"/>
        <v>6</v>
      </c>
      <c r="DC8" s="127">
        <v>4</v>
      </c>
      <c r="DD8" s="105" t="s">
        <v>89</v>
      </c>
      <c r="DE8" s="129">
        <f t="shared" si="49"/>
        <v>4</v>
      </c>
      <c r="DF8" s="157">
        <v>79.799999999999997</v>
      </c>
      <c r="DG8" s="131">
        <f t="shared" si="50"/>
        <v>4</v>
      </c>
      <c r="DH8" s="117" t="s">
        <v>57</v>
      </c>
      <c r="DI8" s="132">
        <f t="shared" si="51"/>
        <v>0</v>
      </c>
      <c r="DJ8" s="133" t="s">
        <v>89</v>
      </c>
      <c r="DK8" s="134">
        <f t="shared" si="52"/>
        <v>4</v>
      </c>
      <c r="DL8" s="133" t="s">
        <v>89</v>
      </c>
      <c r="DM8" s="135">
        <f t="shared" si="53"/>
        <v>4</v>
      </c>
      <c r="DN8" s="131" t="s">
        <v>90</v>
      </c>
      <c r="DO8" s="170">
        <f t="shared" si="54"/>
        <v>0</v>
      </c>
      <c r="DP8" s="135" t="s">
        <v>90</v>
      </c>
      <c r="DQ8" s="129">
        <f t="shared" si="55"/>
        <v>0</v>
      </c>
      <c r="DR8" s="136">
        <f>(69+73.3+66.7)/3</f>
        <v>69.666666666666671</v>
      </c>
      <c r="DS8" s="105">
        <f t="shared" si="56"/>
        <v>4</v>
      </c>
      <c r="DT8" s="137">
        <v>50</v>
      </c>
      <c r="DU8" s="105">
        <f t="shared" si="57"/>
        <v>4</v>
      </c>
      <c r="DV8" s="138">
        <v>33</v>
      </c>
      <c r="DW8" s="139">
        <f t="shared" si="58"/>
        <v>1</v>
      </c>
      <c r="DX8" s="150">
        <v>25</v>
      </c>
      <c r="DY8" s="141">
        <f t="shared" si="59"/>
        <v>1</v>
      </c>
      <c r="DZ8" s="142">
        <f t="shared" si="60"/>
        <v>113.5</v>
      </c>
      <c r="EA8" s="143">
        <f t="shared" si="61"/>
        <v>5</v>
      </c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</row>
    <row r="9" s="1" customFormat="1" ht="15">
      <c r="A9" s="104" t="s">
        <v>96</v>
      </c>
      <c r="B9" s="105" t="s">
        <v>89</v>
      </c>
      <c r="C9" s="105">
        <f t="shared" si="0"/>
        <v>4</v>
      </c>
      <c r="D9" s="105" t="s">
        <v>89</v>
      </c>
      <c r="E9" s="105">
        <f t="shared" si="1"/>
        <v>4</v>
      </c>
      <c r="F9" s="105" t="s">
        <v>90</v>
      </c>
      <c r="G9" s="105">
        <f t="shared" si="2"/>
        <v>0</v>
      </c>
      <c r="H9" s="105" t="s">
        <v>91</v>
      </c>
      <c r="I9" s="105">
        <f t="shared" si="3"/>
        <v>1</v>
      </c>
      <c r="J9" s="105" t="s">
        <v>91</v>
      </c>
      <c r="K9" s="105">
        <f t="shared" si="4"/>
        <v>0.5</v>
      </c>
      <c r="L9" s="105" t="s">
        <v>90</v>
      </c>
      <c r="M9" s="105">
        <f t="shared" si="5"/>
        <v>0</v>
      </c>
      <c r="N9" s="106" t="s">
        <v>89</v>
      </c>
      <c r="O9" s="105">
        <f t="shared" si="6"/>
        <v>4</v>
      </c>
      <c r="P9" s="106" t="s">
        <v>89</v>
      </c>
      <c r="Q9" s="105">
        <f t="shared" si="7"/>
        <v>0.5</v>
      </c>
      <c r="R9" s="106" t="s">
        <v>89</v>
      </c>
      <c r="S9" s="105">
        <f t="shared" si="8"/>
        <v>0.5</v>
      </c>
      <c r="T9" s="106" t="s">
        <v>89</v>
      </c>
      <c r="U9" s="105">
        <f t="shared" si="9"/>
        <v>0.5</v>
      </c>
      <c r="V9" s="106" t="s">
        <v>89</v>
      </c>
      <c r="W9" s="105">
        <f t="shared" si="10"/>
        <v>0.5</v>
      </c>
      <c r="X9" s="106" t="s">
        <v>89</v>
      </c>
      <c r="Y9" s="105">
        <f t="shared" si="11"/>
        <v>4</v>
      </c>
      <c r="Z9" s="105" t="s">
        <v>91</v>
      </c>
      <c r="AA9" s="105">
        <f t="shared" si="12"/>
        <v>0.5</v>
      </c>
      <c r="AB9" s="106" t="s">
        <v>89</v>
      </c>
      <c r="AC9" s="105">
        <f t="shared" si="13"/>
        <v>4</v>
      </c>
      <c r="AD9" s="105" t="s">
        <v>89</v>
      </c>
      <c r="AE9" s="105">
        <f t="shared" si="14"/>
        <v>4</v>
      </c>
      <c r="AF9" s="105">
        <v>1</v>
      </c>
      <c r="AG9" s="105">
        <f t="shared" si="15"/>
        <v>1</v>
      </c>
      <c r="AH9" s="105" t="s">
        <v>89</v>
      </c>
      <c r="AI9" s="105">
        <f t="shared" si="16"/>
        <v>4</v>
      </c>
      <c r="AJ9" s="105" t="s">
        <v>57</v>
      </c>
      <c r="AK9" s="107" t="s">
        <v>90</v>
      </c>
      <c r="AL9" s="108" t="s">
        <v>90</v>
      </c>
      <c r="AM9" s="109">
        <f t="shared" si="17"/>
        <v>4</v>
      </c>
      <c r="AN9" s="110">
        <v>90.200000000000003</v>
      </c>
      <c r="AO9" s="111">
        <f t="shared" si="18"/>
        <v>4</v>
      </c>
      <c r="AP9" s="112">
        <v>86.599999999999994</v>
      </c>
      <c r="AQ9" s="111">
        <f t="shared" si="19"/>
        <v>4</v>
      </c>
      <c r="AR9" s="110">
        <v>1.5</v>
      </c>
      <c r="AS9" s="111">
        <f t="shared" si="20"/>
        <v>0</v>
      </c>
      <c r="AT9" s="110">
        <v>3.2000000000000002</v>
      </c>
      <c r="AU9" s="113">
        <f>IF(AT9&lt;=0.99,-2,IF(AT9&lt;=2.79,0,IF(AT9&gt;=2.8,4)))</f>
        <v>4</v>
      </c>
      <c r="AV9" s="145">
        <v>10.5</v>
      </c>
      <c r="AW9" s="105">
        <f t="shared" si="22"/>
        <v>0</v>
      </c>
      <c r="AX9" s="106" t="s">
        <v>89</v>
      </c>
      <c r="AY9" s="105">
        <f t="shared" si="23"/>
        <v>4</v>
      </c>
      <c r="AZ9" s="106" t="s">
        <v>89</v>
      </c>
      <c r="BA9" s="105">
        <f t="shared" si="24"/>
        <v>0.5</v>
      </c>
      <c r="BB9" s="106" t="s">
        <v>89</v>
      </c>
      <c r="BC9" s="105">
        <f t="shared" si="25"/>
        <v>0.5</v>
      </c>
      <c r="BD9" s="106" t="s">
        <v>89</v>
      </c>
      <c r="BE9" s="105">
        <f t="shared" si="26"/>
        <v>0.5</v>
      </c>
      <c r="BF9" s="106" t="s">
        <v>89</v>
      </c>
      <c r="BG9" s="105">
        <f t="shared" si="27"/>
        <v>0.5</v>
      </c>
      <c r="BH9" s="106" t="s">
        <v>89</v>
      </c>
      <c r="BI9" s="105">
        <f t="shared" si="28"/>
        <v>0.5</v>
      </c>
      <c r="BJ9" s="106" t="s">
        <v>89</v>
      </c>
      <c r="BK9" s="105">
        <f t="shared" si="29"/>
        <v>4</v>
      </c>
      <c r="BL9" s="105" t="s">
        <v>90</v>
      </c>
      <c r="BM9" s="105">
        <f t="shared" si="30"/>
        <v>0</v>
      </c>
      <c r="BN9" s="105" t="s">
        <v>91</v>
      </c>
      <c r="BO9" s="105">
        <f t="shared" si="31"/>
        <v>1</v>
      </c>
      <c r="BP9" s="105" t="s">
        <v>90</v>
      </c>
      <c r="BQ9" s="107">
        <f t="shared" si="32"/>
        <v>0</v>
      </c>
      <c r="BR9" s="114">
        <v>1550.1999999999998</v>
      </c>
      <c r="BS9" s="115">
        <v>1554.8999999999999</v>
      </c>
      <c r="BT9" s="116">
        <f t="shared" si="33"/>
        <v>2</v>
      </c>
      <c r="BU9" s="117" t="s">
        <v>91</v>
      </c>
      <c r="BV9" s="117">
        <f t="shared" si="34"/>
        <v>6</v>
      </c>
      <c r="BW9" s="117" t="s">
        <v>90</v>
      </c>
      <c r="BX9" s="117">
        <f t="shared" si="35"/>
        <v>0</v>
      </c>
      <c r="BY9" s="117" t="s">
        <v>90</v>
      </c>
      <c r="BZ9" s="117">
        <f t="shared" si="36"/>
        <v>0</v>
      </c>
      <c r="CA9" s="117" t="s">
        <v>90</v>
      </c>
      <c r="CB9" s="117">
        <f t="shared" si="37"/>
        <v>0</v>
      </c>
      <c r="CC9" s="6" t="s">
        <v>90</v>
      </c>
      <c r="CD9" s="117">
        <f t="shared" si="38"/>
        <v>0</v>
      </c>
      <c r="CE9" s="6" t="s">
        <v>90</v>
      </c>
      <c r="CF9" s="117">
        <f t="shared" si="39"/>
        <v>0</v>
      </c>
      <c r="CG9" s="118">
        <v>277.13</v>
      </c>
      <c r="CH9" s="119">
        <v>261.94</v>
      </c>
      <c r="CI9" s="120">
        <f t="shared" si="40"/>
        <v>-2</v>
      </c>
      <c r="CJ9" s="121">
        <v>95709</v>
      </c>
      <c r="CK9" s="121">
        <v>172754.70999999999</v>
      </c>
      <c r="CL9" s="122">
        <f t="shared" si="41"/>
        <v>4</v>
      </c>
      <c r="CM9" s="123" t="s">
        <v>90</v>
      </c>
      <c r="CN9" s="123">
        <f t="shared" si="42"/>
        <v>0</v>
      </c>
      <c r="CO9" s="123" t="s">
        <v>90</v>
      </c>
      <c r="CP9" s="123">
        <f t="shared" si="43"/>
        <v>0</v>
      </c>
      <c r="CQ9" s="123" t="s">
        <v>91</v>
      </c>
      <c r="CR9" s="123">
        <f t="shared" si="44"/>
        <v>0</v>
      </c>
      <c r="CS9" s="123" t="s">
        <v>90</v>
      </c>
      <c r="CT9" s="124">
        <f t="shared" si="45"/>
        <v>0</v>
      </c>
      <c r="CU9" s="146">
        <v>1335.923</v>
      </c>
      <c r="CV9" s="121">
        <v>949.41999999999996</v>
      </c>
      <c r="CW9" s="125">
        <f t="shared" si="46"/>
        <v>-2</v>
      </c>
      <c r="CX9" s="147">
        <v>119.2</v>
      </c>
      <c r="CY9" s="127">
        <f t="shared" si="47"/>
        <v>6</v>
      </c>
      <c r="CZ9" s="148">
        <v>964259</v>
      </c>
      <c r="DA9" s="128">
        <v>1156515</v>
      </c>
      <c r="DB9" s="127">
        <f t="shared" si="48"/>
        <v>6</v>
      </c>
      <c r="DC9" s="127">
        <v>4</v>
      </c>
      <c r="DD9" s="105" t="s">
        <v>89</v>
      </c>
      <c r="DE9" s="129">
        <f t="shared" si="49"/>
        <v>4</v>
      </c>
      <c r="DF9" s="130">
        <v>92.700000000000003</v>
      </c>
      <c r="DG9" s="131">
        <f t="shared" si="50"/>
        <v>4</v>
      </c>
      <c r="DH9" s="117" t="s">
        <v>57</v>
      </c>
      <c r="DI9" s="132">
        <f t="shared" si="51"/>
        <v>0</v>
      </c>
      <c r="DJ9" s="133" t="s">
        <v>89</v>
      </c>
      <c r="DK9" s="134">
        <f t="shared" si="52"/>
        <v>4</v>
      </c>
      <c r="DL9" s="133" t="s">
        <v>89</v>
      </c>
      <c r="DM9" s="135">
        <f t="shared" si="53"/>
        <v>4</v>
      </c>
      <c r="DN9" s="129" t="s">
        <v>91</v>
      </c>
      <c r="DO9" s="156">
        <f t="shared" si="54"/>
        <v>4</v>
      </c>
      <c r="DP9" s="129" t="s">
        <v>90</v>
      </c>
      <c r="DQ9" s="129">
        <f t="shared" si="55"/>
        <v>0</v>
      </c>
      <c r="DR9" s="136">
        <f>(56.1+59.5+52.4)/3</f>
        <v>56</v>
      </c>
      <c r="DS9" s="106">
        <f t="shared" si="56"/>
        <v>4</v>
      </c>
      <c r="DT9" s="149">
        <v>33.299999999999997</v>
      </c>
      <c r="DU9" s="106">
        <f t="shared" si="57"/>
        <v>2</v>
      </c>
      <c r="DV9" s="138">
        <v>33.299999999999997</v>
      </c>
      <c r="DW9" s="139">
        <f t="shared" si="58"/>
        <v>1</v>
      </c>
      <c r="DX9" s="150">
        <v>33.299999999999997</v>
      </c>
      <c r="DY9" s="106">
        <f t="shared" si="59"/>
        <v>2</v>
      </c>
      <c r="DZ9" s="142">
        <f t="shared" si="60"/>
        <v>113.5</v>
      </c>
      <c r="EA9" s="143">
        <f t="shared" si="61"/>
        <v>5</v>
      </c>
    </row>
    <row r="10" s="1" customFormat="1" ht="15">
      <c r="A10" s="104" t="s">
        <v>97</v>
      </c>
      <c r="B10" s="105" t="s">
        <v>89</v>
      </c>
      <c r="C10" s="105">
        <f t="shared" ref="C10:C39" si="62">IF(B10="да",4,0)</f>
        <v>4</v>
      </c>
      <c r="D10" s="105" t="s">
        <v>89</v>
      </c>
      <c r="E10" s="105">
        <f t="shared" ref="E10:E39" si="63">IF(D10="да",4,0)</f>
        <v>4</v>
      </c>
      <c r="F10" s="105" t="s">
        <v>90</v>
      </c>
      <c r="G10" s="105">
        <f t="shared" ref="G10:G39" si="64">IF(F10="+",0.5,0)</f>
        <v>0</v>
      </c>
      <c r="H10" s="105" t="s">
        <v>91</v>
      </c>
      <c r="I10" s="105">
        <f t="shared" ref="I10:I39" si="65">IF(H10="+",1,0)</f>
        <v>1</v>
      </c>
      <c r="J10" s="105" t="s">
        <v>91</v>
      </c>
      <c r="K10" s="105">
        <f t="shared" ref="K10:K39" si="66">IF(J10="+",0.5,0)</f>
        <v>0.5</v>
      </c>
      <c r="L10" s="105" t="s">
        <v>90</v>
      </c>
      <c r="M10" s="105">
        <f t="shared" ref="M10:M39" si="67">IF(L10="+",1,0)</f>
        <v>0</v>
      </c>
      <c r="N10" s="105" t="s">
        <v>89</v>
      </c>
      <c r="O10" s="105">
        <f t="shared" ref="O10:O39" si="68">IF(N10="да",4,0)</f>
        <v>4</v>
      </c>
      <c r="P10" s="105" t="s">
        <v>89</v>
      </c>
      <c r="Q10" s="105">
        <f t="shared" ref="Q10:Q39" si="69">IF(P10="да",0.5,0)</f>
        <v>0.5</v>
      </c>
      <c r="R10" s="105" t="s">
        <v>89</v>
      </c>
      <c r="S10" s="105">
        <f t="shared" ref="S10:S39" si="70">IF(R10="да",0.5,0)</f>
        <v>0.5</v>
      </c>
      <c r="T10" s="105" t="s">
        <v>89</v>
      </c>
      <c r="U10" s="105">
        <f t="shared" ref="U10:U39" si="71">IF(T10="да",0.5,0)</f>
        <v>0.5</v>
      </c>
      <c r="V10" s="105" t="s">
        <v>89</v>
      </c>
      <c r="W10" s="105">
        <f t="shared" ref="W10:W39" si="72">IF(V10="да",0.5,0)</f>
        <v>0.5</v>
      </c>
      <c r="X10" s="105" t="s">
        <v>89</v>
      </c>
      <c r="Y10" s="105">
        <f t="shared" ref="Y10:Y39" si="73">IF(X10="да",4,0)</f>
        <v>4</v>
      </c>
      <c r="Z10" s="105" t="s">
        <v>91</v>
      </c>
      <c r="AA10" s="105">
        <f t="shared" ref="AA10:AA39" si="74">IF(Z10="+",0.5,0)</f>
        <v>0.5</v>
      </c>
      <c r="AB10" s="105" t="s">
        <v>89</v>
      </c>
      <c r="AC10" s="105">
        <f t="shared" ref="AC10:AC39" si="75">IF(AB10="да",4,0)</f>
        <v>4</v>
      </c>
      <c r="AD10" s="105" t="s">
        <v>89</v>
      </c>
      <c r="AE10" s="105">
        <f t="shared" ref="AE10:AE39" si="76">IF(AD10="да",4,0)</f>
        <v>4</v>
      </c>
      <c r="AF10" s="105">
        <v>2</v>
      </c>
      <c r="AG10" s="105">
        <f t="shared" ref="AG10:AG39" si="77">AF10</f>
        <v>2</v>
      </c>
      <c r="AH10" s="105" t="s">
        <v>89</v>
      </c>
      <c r="AI10" s="107">
        <f t="shared" ref="AI10:AI39" si="78">IF(AH10="да",4,0)</f>
        <v>4</v>
      </c>
      <c r="AJ10" s="105" t="s">
        <v>90</v>
      </c>
      <c r="AK10" s="107" t="s">
        <v>89</v>
      </c>
      <c r="AL10" s="108" t="s">
        <v>90</v>
      </c>
      <c r="AM10" s="109">
        <f t="shared" ref="AM10:AM39" si="79">IF(AJ10="нет",4,IF(AK10="да",0,IF(AL10="да",-2,)))</f>
        <v>0</v>
      </c>
      <c r="AN10" s="110">
        <v>91.299999999999997</v>
      </c>
      <c r="AO10" s="111">
        <f t="shared" ref="AO10:AO39" si="80">IF(AN10&lt;=19.99,-2,IF(AN10&lt;=24.99,0,IF(AN10&gt;=25,4)))</f>
        <v>4</v>
      </c>
      <c r="AP10" s="112">
        <v>51.899999999999999</v>
      </c>
      <c r="AQ10" s="111">
        <f t="shared" ref="AQ10:AQ39" si="81">IF(AP10&lt;=14.99,-2,IF(AP10&lt;=24.99,0,IF(AP10&lt;=34.99,2,IF(AP10&gt;=35,4))))</f>
        <v>4</v>
      </c>
      <c r="AR10" s="110">
        <v>2.2000000000000002</v>
      </c>
      <c r="AS10" s="111">
        <f t="shared" ref="AS10:AS37" si="82">IF(AR10&lt;=0.99,-2,IF(AR10&lt;=1.99,0,IF(AR10&gt;=1.99,4)))</f>
        <v>4</v>
      </c>
      <c r="AT10" s="110">
        <v>2.5</v>
      </c>
      <c r="AU10" s="113">
        <f t="shared" ref="AU10:AU39" si="83">IF(AT10&lt;=0.99,-2,IF(AT10&lt;=2.79,0,IF(AT10&gt;=2.8,4)))</f>
        <v>0</v>
      </c>
      <c r="AV10">
        <v>2.5</v>
      </c>
      <c r="AW10" s="105">
        <f t="shared" ref="AW10:AW39" si="84">IF(AV10&lt;=9.99,2,IF(AV10&lt;=24.99,0,IF(AV10&gt;=25,-4)))</f>
        <v>2</v>
      </c>
      <c r="AX10" s="105" t="s">
        <v>89</v>
      </c>
      <c r="AY10" s="105">
        <f t="shared" ref="AY10:AY39" si="85">IF(AX10="да",4,0)</f>
        <v>4</v>
      </c>
      <c r="AZ10" s="105" t="s">
        <v>89</v>
      </c>
      <c r="BA10" s="105">
        <f t="shared" ref="BA10:BA39" si="86">IF(AZ10="да",0.5,0)</f>
        <v>0.5</v>
      </c>
      <c r="BB10" s="105" t="s">
        <v>89</v>
      </c>
      <c r="BC10" s="105">
        <f t="shared" ref="BC10:BC39" si="87">IF(BB10="да",0.5,0)</f>
        <v>0.5</v>
      </c>
      <c r="BD10" s="105" t="s">
        <v>89</v>
      </c>
      <c r="BE10" s="105">
        <f t="shared" ref="BE10:BE39" si="88">IF(BD10="да",0.5,0)</f>
        <v>0.5</v>
      </c>
      <c r="BF10" s="105" t="s">
        <v>89</v>
      </c>
      <c r="BG10" s="105">
        <f t="shared" ref="BG10:BG39" si="89">IF(BF10="да",0.5,0)</f>
        <v>0.5</v>
      </c>
      <c r="BH10" s="105" t="s">
        <v>89</v>
      </c>
      <c r="BI10" s="105">
        <f t="shared" ref="BI10:BI39" si="90">IF(BH10="да",0.5,0)</f>
        <v>0.5</v>
      </c>
      <c r="BJ10" s="105" t="s">
        <v>89</v>
      </c>
      <c r="BK10" s="105">
        <f t="shared" ref="BK10:BK39" si="91">IF(BJ10="да",4,0)</f>
        <v>4</v>
      </c>
      <c r="BL10" s="105" t="s">
        <v>91</v>
      </c>
      <c r="BM10" s="105">
        <f t="shared" ref="BM10:BM39" si="92">IF(BL10="+",0.5,0)</f>
        <v>0.5</v>
      </c>
      <c r="BN10" s="105" t="s">
        <v>90</v>
      </c>
      <c r="BO10" s="105">
        <f t="shared" ref="BO10:BO39" si="93">IF(BN10="+",1,0)</f>
        <v>0</v>
      </c>
      <c r="BP10" s="105" t="s">
        <v>90</v>
      </c>
      <c r="BQ10" s="107">
        <f t="shared" ref="BQ10:BQ39" si="94">IF(BP10="+",1.5,0)</f>
        <v>0</v>
      </c>
      <c r="BR10" s="114">
        <v>2101</v>
      </c>
      <c r="BS10" s="115">
        <v>1640.5</v>
      </c>
      <c r="BT10" s="116">
        <f t="shared" ref="BT10:BT39" si="95">IF(BS10&lt;BR10,-2,IF(BS10=BR10,0,IF((((BS10/BR10)*100)-100)&lt;=5,2,4)))</f>
        <v>-2</v>
      </c>
      <c r="BU10" s="117" t="s">
        <v>91</v>
      </c>
      <c r="BV10" s="117">
        <f t="shared" ref="BV10:BV39" si="96">IF(BU10="+",6,0)</f>
        <v>6</v>
      </c>
      <c r="BW10" s="117" t="s">
        <v>90</v>
      </c>
      <c r="BX10" s="117">
        <f t="shared" ref="BX10:BX39" si="97">IF(BW10="+",4,0)</f>
        <v>0</v>
      </c>
      <c r="BY10" s="117" t="s">
        <v>90</v>
      </c>
      <c r="BZ10" s="117">
        <f t="shared" ref="BZ10:BZ39" si="98">IF(BY10="+",2,0)</f>
        <v>0</v>
      </c>
      <c r="CA10" s="117" t="s">
        <v>90</v>
      </c>
      <c r="CB10" s="117">
        <f t="shared" ref="CB10:CB39" si="99">IF(CA10="+",0,0)</f>
        <v>0</v>
      </c>
      <c r="CC10" s="117" t="s">
        <v>90</v>
      </c>
      <c r="CD10" s="117">
        <f t="shared" ref="CD10:CD39" si="100">IF(CC10="+",0.5,0)</f>
        <v>0</v>
      </c>
      <c r="CE10" s="117" t="s">
        <v>91</v>
      </c>
      <c r="CF10" s="117">
        <f t="shared" ref="CF10:CF39" si="101">IF(CE10="+",4,0)</f>
        <v>4</v>
      </c>
      <c r="CG10" s="118">
        <v>277.13</v>
      </c>
      <c r="CH10" s="119">
        <v>200.06</v>
      </c>
      <c r="CI10" s="106">
        <f t="shared" ref="CI10:CI39" si="102">IF(CH10&lt;CG10,-2,IF(CH10=CG10,0,IF(CH10&gt;CG10,4)))</f>
        <v>-2</v>
      </c>
      <c r="CJ10" s="121">
        <v>122921</v>
      </c>
      <c r="CK10" s="121">
        <v>133938.13</v>
      </c>
      <c r="CL10" s="122">
        <f t="shared" ref="CL10:CL39" si="103">IF(CK10&lt;CJ10,-2,IF(CK10=CJ10,0,IF((((CK10/CJ10)*100)-100)&lt;=5,2,4)))</f>
        <v>4</v>
      </c>
      <c r="CM10" s="123" t="s">
        <v>90</v>
      </c>
      <c r="CN10" s="123">
        <f t="shared" ref="CN10:CN39" si="104">IF(CM10="+",6,0)</f>
        <v>0</v>
      </c>
      <c r="CO10" s="123" t="s">
        <v>91</v>
      </c>
      <c r="CP10" s="123">
        <f t="shared" ref="CP10:CP21" si="105">IF(CO10="+",4,0)</f>
        <v>4</v>
      </c>
      <c r="CQ10" s="123" t="s">
        <v>90</v>
      </c>
      <c r="CR10" s="123">
        <f t="shared" ref="CR10:CR39" si="106">IF(CQ10="+",0,0)</f>
        <v>0</v>
      </c>
      <c r="CS10" s="123" t="s">
        <v>90</v>
      </c>
      <c r="CT10" s="124">
        <f t="shared" ref="CT10:CT39" si="107">IF(CS10="+",-2,0)</f>
        <v>0</v>
      </c>
      <c r="CU10" s="121">
        <v>428.97399999999999</v>
      </c>
      <c r="CV10" s="121">
        <v>1110.22</v>
      </c>
      <c r="CW10" s="125">
        <f t="shared" ref="CW10:CW39" si="108">IF(CV10&lt;CU10,-2,IF(CV10=CU10,0,IF((((CV10/CU10)*100)-100)&lt;=5,4,6)))</f>
        <v>6</v>
      </c>
      <c r="CX10" s="147">
        <v>119.2</v>
      </c>
      <c r="CY10" s="127">
        <f t="shared" ref="CY10:CY39" si="109">IF(CX10&lt;=98.9,-4,IF(CX10&lt;=100.9,0,IF(CX10&lt;=104.9,4,IF(CX10&gt;=105,6))))</f>
        <v>6</v>
      </c>
      <c r="CZ10" s="148">
        <v>585214</v>
      </c>
      <c r="DA10" s="128">
        <v>712712</v>
      </c>
      <c r="DB10" s="127">
        <f t="shared" ref="DB10:DB33" si="110">IF(DA10&lt;=CZ10,0,IF((((DA10/CZ10)*100)-100)&lt;=5,4,6))</f>
        <v>6</v>
      </c>
      <c r="DC10" s="127">
        <v>-2</v>
      </c>
      <c r="DD10" s="105" t="s">
        <v>89</v>
      </c>
      <c r="DE10" s="129">
        <f t="shared" ref="DE10:DE39" si="111">IF(DD10="да",4,0)</f>
        <v>4</v>
      </c>
      <c r="DF10" s="157">
        <v>84.299999999999997</v>
      </c>
      <c r="DG10" s="131">
        <f t="shared" ref="DG10:DG39" si="112">IF(DF10&lt;=29.99,0,IF(DF10&lt;=49.99,2,IF(DF10&gt;=50,4)))</f>
        <v>4</v>
      </c>
      <c r="DH10" s="117" t="s">
        <v>57</v>
      </c>
      <c r="DI10" s="132">
        <f t="shared" ref="DI10:DI39" si="113">IF(DH10="да",1,0)</f>
        <v>0</v>
      </c>
      <c r="DJ10" s="133" t="s">
        <v>89</v>
      </c>
      <c r="DK10" s="134">
        <f t="shared" ref="DK10:DK39" si="114">IF(DJ10="да",4,0)</f>
        <v>4</v>
      </c>
      <c r="DL10" s="133" t="s">
        <v>89</v>
      </c>
      <c r="DM10" s="135">
        <f t="shared" ref="DM10:DM39" si="115">IF(DL10="да",4,0)</f>
        <v>4</v>
      </c>
      <c r="DN10" s="131" t="s">
        <v>90</v>
      </c>
      <c r="DO10" s="170">
        <f t="shared" ref="DO10:DO39" si="116">IF(DN10="+",4,0)</f>
        <v>0</v>
      </c>
      <c r="DP10" s="135" t="s">
        <v>90</v>
      </c>
      <c r="DQ10" s="129">
        <f t="shared" ref="DQ10:DQ39" si="117">IF(DP10="+",0,0)</f>
        <v>0</v>
      </c>
      <c r="DR10" s="136">
        <f>(85.7+72.2+66.7)/3</f>
        <v>74.866666666666674</v>
      </c>
      <c r="DS10" s="105">
        <f t="shared" ref="DS10:DS39" si="118">IF(DR10&lt;=19.99,-4,IF(DR10&lt;=29.99,0,IF(DR10&lt;=49.99,2,IF(DR10&gt;=50,4))))</f>
        <v>4</v>
      </c>
      <c r="DT10" s="137">
        <v>83.299999999999997</v>
      </c>
      <c r="DU10" s="105">
        <f t="shared" ref="DU10:DU39" si="119">IF(DT10&lt;=9.99,-4,IF(DT10&lt;=29.99,1,IF(DT10&lt;=49.99,2,IF(DT10&gt;=50,4))))</f>
        <v>4</v>
      </c>
      <c r="DV10" s="138">
        <v>0</v>
      </c>
      <c r="DW10" s="139">
        <f t="shared" ref="DW10:DW39" si="120">IF(DV10&lt;=19.99,-2,IF(DV10&lt;=39.99,1,IF(DV10&lt;=54.99,2,IF(DV10&gt;=55,4))))</f>
        <v>-2</v>
      </c>
      <c r="DX10" s="150">
        <v>33.299999999999997</v>
      </c>
      <c r="DY10" s="141">
        <f t="shared" ref="DY10:DY39" si="121">IF(DX10&lt;=9.99,-2,IF(DX10&lt;=29.99,1,IF(DX10&lt;=49.99,2,IF(DX10&gt;=50,4))))</f>
        <v>2</v>
      </c>
      <c r="DZ10" s="142">
        <f t="shared" ref="DZ10:DZ39" si="122">SUM(C10,E10,G10,I10,K10,M10,O10,Q10,S10,U10,W10,Y10,AA10,AC10,AE10,AG10,AI10,AM10,AO10,AQ10,AS10,AU10,AW10,AY10,BA10,BC10,BE10,BG10,BI10,BK10,BM10,BO10,BQ10,BT10,BV10,BX10,BZ10,CB10,CD10,CF10,CI10,CL10,CN10,CP10,CR10,CT10,CW10,CY10,DB10,DC10,DE10,DG10,DI10,DK10,DM10,DO10,DQ10,DS10,DU10,DW10,DY10)</f>
        <v>113</v>
      </c>
      <c r="EA10" s="143">
        <f t="shared" ref="EA10:EA33" si="123">RANK(DZ10,DZ$4:DZ$33,0)</f>
        <v>7</v>
      </c>
    </row>
    <row r="11" s="1" customFormat="1" ht="15">
      <c r="A11" s="104" t="s">
        <v>98</v>
      </c>
      <c r="B11" s="105" t="s">
        <v>89</v>
      </c>
      <c r="C11" s="105">
        <f t="shared" si="62"/>
        <v>4</v>
      </c>
      <c r="D11" s="105" t="s">
        <v>89</v>
      </c>
      <c r="E11" s="105">
        <f t="shared" si="63"/>
        <v>4</v>
      </c>
      <c r="F11" s="105" t="s">
        <v>90</v>
      </c>
      <c r="G11" s="105">
        <f t="shared" si="64"/>
        <v>0</v>
      </c>
      <c r="H11" s="105" t="s">
        <v>91</v>
      </c>
      <c r="I11" s="105">
        <f t="shared" si="65"/>
        <v>1</v>
      </c>
      <c r="J11" s="105" t="s">
        <v>91</v>
      </c>
      <c r="K11" s="105">
        <f t="shared" si="66"/>
        <v>0.5</v>
      </c>
      <c r="L11" s="105" t="s">
        <v>90</v>
      </c>
      <c r="M11" s="105">
        <f t="shared" si="67"/>
        <v>0</v>
      </c>
      <c r="N11" s="106" t="s">
        <v>89</v>
      </c>
      <c r="O11" s="105">
        <f t="shared" si="68"/>
        <v>4</v>
      </c>
      <c r="P11" s="106" t="s">
        <v>89</v>
      </c>
      <c r="Q11" s="105">
        <f t="shared" si="69"/>
        <v>0.5</v>
      </c>
      <c r="R11" s="106" t="s">
        <v>89</v>
      </c>
      <c r="S11" s="105">
        <f t="shared" si="70"/>
        <v>0.5</v>
      </c>
      <c r="T11" s="106" t="s">
        <v>89</v>
      </c>
      <c r="U11" s="105">
        <f t="shared" si="71"/>
        <v>0.5</v>
      </c>
      <c r="V11" s="106" t="s">
        <v>89</v>
      </c>
      <c r="W11" s="105">
        <f t="shared" si="72"/>
        <v>0.5</v>
      </c>
      <c r="X11" s="105" t="s">
        <v>89</v>
      </c>
      <c r="Y11" s="105">
        <f t="shared" si="73"/>
        <v>4</v>
      </c>
      <c r="Z11" s="105" t="s">
        <v>91</v>
      </c>
      <c r="AA11" s="105">
        <f t="shared" si="74"/>
        <v>0.5</v>
      </c>
      <c r="AB11" s="106" t="s">
        <v>89</v>
      </c>
      <c r="AC11" s="105">
        <f t="shared" si="75"/>
        <v>4</v>
      </c>
      <c r="AD11" s="105" t="s">
        <v>89</v>
      </c>
      <c r="AE11" s="105">
        <f t="shared" si="76"/>
        <v>4</v>
      </c>
      <c r="AF11" s="105">
        <v>4</v>
      </c>
      <c r="AG11" s="105">
        <f t="shared" si="77"/>
        <v>4</v>
      </c>
      <c r="AH11" s="106" t="s">
        <v>89</v>
      </c>
      <c r="AI11" s="105">
        <f t="shared" si="78"/>
        <v>4</v>
      </c>
      <c r="AJ11" s="105" t="s">
        <v>57</v>
      </c>
      <c r="AK11" s="107" t="s">
        <v>90</v>
      </c>
      <c r="AL11" s="108" t="s">
        <v>90</v>
      </c>
      <c r="AM11" s="109">
        <f t="shared" si="79"/>
        <v>4</v>
      </c>
      <c r="AN11" s="110">
        <v>56.399999999999999</v>
      </c>
      <c r="AO11" s="111">
        <f t="shared" si="80"/>
        <v>4</v>
      </c>
      <c r="AP11" s="112">
        <v>61.200000000000003</v>
      </c>
      <c r="AQ11" s="111">
        <f t="shared" si="81"/>
        <v>4</v>
      </c>
      <c r="AR11" s="110">
        <v>2</v>
      </c>
      <c r="AS11" s="111">
        <f t="shared" si="82"/>
        <v>4</v>
      </c>
      <c r="AT11" s="110">
        <v>3.3999999999999999</v>
      </c>
      <c r="AU11" s="113">
        <f t="shared" si="83"/>
        <v>4</v>
      </c>
      <c r="AV11" s="145">
        <v>11.800000000000001</v>
      </c>
      <c r="AW11" s="105">
        <f t="shared" si="84"/>
        <v>0</v>
      </c>
      <c r="AX11" s="106" t="s">
        <v>89</v>
      </c>
      <c r="AY11" s="105">
        <f t="shared" si="85"/>
        <v>4</v>
      </c>
      <c r="AZ11" s="106" t="s">
        <v>89</v>
      </c>
      <c r="BA11" s="105">
        <f t="shared" si="86"/>
        <v>0.5</v>
      </c>
      <c r="BB11" s="106" t="s">
        <v>89</v>
      </c>
      <c r="BC11" s="105">
        <f t="shared" si="87"/>
        <v>0.5</v>
      </c>
      <c r="BD11" s="106" t="s">
        <v>89</v>
      </c>
      <c r="BE11" s="105">
        <f t="shared" si="88"/>
        <v>0.5</v>
      </c>
      <c r="BF11" s="106" t="s">
        <v>89</v>
      </c>
      <c r="BG11" s="105">
        <f t="shared" si="89"/>
        <v>0.5</v>
      </c>
      <c r="BH11" s="106" t="s">
        <v>89</v>
      </c>
      <c r="BI11" s="105">
        <f t="shared" si="90"/>
        <v>0.5</v>
      </c>
      <c r="BJ11" s="106" t="s">
        <v>89</v>
      </c>
      <c r="BK11" s="105">
        <f t="shared" si="91"/>
        <v>4</v>
      </c>
      <c r="BL11" s="105" t="s">
        <v>90</v>
      </c>
      <c r="BM11" s="105">
        <f t="shared" si="92"/>
        <v>0</v>
      </c>
      <c r="BN11" s="105" t="s">
        <v>91</v>
      </c>
      <c r="BO11" s="105">
        <f t="shared" si="93"/>
        <v>1</v>
      </c>
      <c r="BP11" s="105" t="s">
        <v>90</v>
      </c>
      <c r="BQ11" s="107">
        <f t="shared" si="94"/>
        <v>0</v>
      </c>
      <c r="BR11" s="114">
        <v>2192.4000000000001</v>
      </c>
      <c r="BS11" s="115">
        <v>1366.0999999999999</v>
      </c>
      <c r="BT11" s="116">
        <f t="shared" si="95"/>
        <v>-2</v>
      </c>
      <c r="BU11" s="117" t="s">
        <v>90</v>
      </c>
      <c r="BV11" s="117">
        <f t="shared" si="96"/>
        <v>0</v>
      </c>
      <c r="BW11" s="117" t="s">
        <v>90</v>
      </c>
      <c r="BX11" s="117">
        <f t="shared" si="97"/>
        <v>0</v>
      </c>
      <c r="BY11" s="117" t="s">
        <v>91</v>
      </c>
      <c r="BZ11" s="117">
        <f t="shared" si="98"/>
        <v>2</v>
      </c>
      <c r="CA11" s="117" t="s">
        <v>90</v>
      </c>
      <c r="CB11" s="117">
        <f t="shared" si="99"/>
        <v>0</v>
      </c>
      <c r="CC11" s="6" t="s">
        <v>90</v>
      </c>
      <c r="CD11" s="117">
        <f t="shared" si="100"/>
        <v>0</v>
      </c>
      <c r="CE11" s="6" t="s">
        <v>90</v>
      </c>
      <c r="CF11" s="117">
        <f t="shared" si="101"/>
        <v>0</v>
      </c>
      <c r="CG11" s="118">
        <v>277.13</v>
      </c>
      <c r="CH11" s="119">
        <v>235.93000000000001</v>
      </c>
      <c r="CI11" s="120">
        <f t="shared" si="102"/>
        <v>-2</v>
      </c>
      <c r="CJ11" s="121">
        <v>119088</v>
      </c>
      <c r="CK11" s="121">
        <v>128725.00999999999</v>
      </c>
      <c r="CL11" s="122">
        <f t="shared" si="103"/>
        <v>4</v>
      </c>
      <c r="CM11" s="123" t="s">
        <v>91</v>
      </c>
      <c r="CN11" s="123">
        <f t="shared" si="104"/>
        <v>6</v>
      </c>
      <c r="CO11" s="123" t="s">
        <v>90</v>
      </c>
      <c r="CP11" s="123">
        <f t="shared" si="105"/>
        <v>0</v>
      </c>
      <c r="CQ11" s="123" t="s">
        <v>90</v>
      </c>
      <c r="CR11" s="123">
        <f t="shared" si="106"/>
        <v>0</v>
      </c>
      <c r="CS11" s="123" t="s">
        <v>90</v>
      </c>
      <c r="CT11" s="124">
        <f t="shared" si="107"/>
        <v>0</v>
      </c>
      <c r="CU11" s="146">
        <v>1762.9159999999999</v>
      </c>
      <c r="CV11" s="121">
        <v>1030.53</v>
      </c>
      <c r="CW11" s="125">
        <f t="shared" si="108"/>
        <v>-2</v>
      </c>
      <c r="CX11" s="147">
        <v>119.8</v>
      </c>
      <c r="CY11" s="127">
        <f t="shared" si="109"/>
        <v>6</v>
      </c>
      <c r="CZ11" s="148">
        <v>1560763</v>
      </c>
      <c r="DA11" s="128">
        <v>2111018</v>
      </c>
      <c r="DB11" s="127">
        <f t="shared" si="110"/>
        <v>6</v>
      </c>
      <c r="DC11" s="127">
        <v>0</v>
      </c>
      <c r="DD11" s="105" t="s">
        <v>89</v>
      </c>
      <c r="DE11" s="129">
        <f t="shared" si="111"/>
        <v>4</v>
      </c>
      <c r="DF11" s="157">
        <v>76.799999999999997</v>
      </c>
      <c r="DG11" s="131">
        <f t="shared" si="112"/>
        <v>4</v>
      </c>
      <c r="DH11" s="117" t="s">
        <v>57</v>
      </c>
      <c r="DI11" s="132">
        <f t="shared" si="113"/>
        <v>0</v>
      </c>
      <c r="DJ11" s="133" t="s">
        <v>89</v>
      </c>
      <c r="DK11" s="134">
        <f t="shared" si="114"/>
        <v>4</v>
      </c>
      <c r="DL11" s="133" t="s">
        <v>89</v>
      </c>
      <c r="DM11" s="135">
        <f t="shared" si="115"/>
        <v>4</v>
      </c>
      <c r="DN11" s="131" t="s">
        <v>90</v>
      </c>
      <c r="DO11" s="170">
        <f t="shared" si="116"/>
        <v>0</v>
      </c>
      <c r="DP11" s="135" t="s">
        <v>90</v>
      </c>
      <c r="DQ11" s="129">
        <f t="shared" si="117"/>
        <v>0</v>
      </c>
      <c r="DR11" s="136">
        <f>(47.1+40+45.7)/3</f>
        <v>44.266666666666673</v>
      </c>
      <c r="DS11" s="106">
        <f t="shared" si="118"/>
        <v>2</v>
      </c>
      <c r="DT11" s="149">
        <v>55.600000000000001</v>
      </c>
      <c r="DU11" s="106">
        <f t="shared" si="119"/>
        <v>4</v>
      </c>
      <c r="DV11" s="138">
        <v>44.399999999999999</v>
      </c>
      <c r="DW11" s="139">
        <f t="shared" si="120"/>
        <v>2</v>
      </c>
      <c r="DX11" s="150">
        <v>33.299999999999997</v>
      </c>
      <c r="DY11" s="106">
        <f t="shared" si="121"/>
        <v>2</v>
      </c>
      <c r="DZ11" s="142">
        <f t="shared" si="122"/>
        <v>111.5</v>
      </c>
      <c r="EA11" s="143">
        <f t="shared" si="123"/>
        <v>8</v>
      </c>
    </row>
    <row r="12" s="1" customFormat="1" ht="15">
      <c r="A12" s="104" t="s">
        <v>99</v>
      </c>
      <c r="B12" s="105" t="s">
        <v>89</v>
      </c>
      <c r="C12" s="105">
        <f t="shared" si="62"/>
        <v>4</v>
      </c>
      <c r="D12" s="105" t="s">
        <v>89</v>
      </c>
      <c r="E12" s="105">
        <f t="shared" si="63"/>
        <v>4</v>
      </c>
      <c r="F12" s="105" t="s">
        <v>90</v>
      </c>
      <c r="G12" s="105">
        <f t="shared" si="64"/>
        <v>0</v>
      </c>
      <c r="H12" s="105" t="s">
        <v>91</v>
      </c>
      <c r="I12" s="105">
        <f t="shared" si="65"/>
        <v>1</v>
      </c>
      <c r="J12" s="105" t="s">
        <v>90</v>
      </c>
      <c r="K12" s="105">
        <f t="shared" si="66"/>
        <v>0</v>
      </c>
      <c r="L12" s="105" t="s">
        <v>91</v>
      </c>
      <c r="M12" s="105">
        <f t="shared" si="67"/>
        <v>1</v>
      </c>
      <c r="N12" s="105" t="s">
        <v>89</v>
      </c>
      <c r="O12" s="105">
        <f t="shared" si="68"/>
        <v>4</v>
      </c>
      <c r="P12" s="105" t="s">
        <v>89</v>
      </c>
      <c r="Q12" s="105">
        <f t="shared" si="69"/>
        <v>0.5</v>
      </c>
      <c r="R12" s="105" t="s">
        <v>89</v>
      </c>
      <c r="S12" s="105">
        <f t="shared" si="70"/>
        <v>0.5</v>
      </c>
      <c r="T12" s="105" t="s">
        <v>89</v>
      </c>
      <c r="U12" s="105">
        <f t="shared" si="71"/>
        <v>0.5</v>
      </c>
      <c r="V12" s="105" t="s">
        <v>89</v>
      </c>
      <c r="W12" s="105">
        <f t="shared" si="72"/>
        <v>0.5</v>
      </c>
      <c r="X12" s="106" t="s">
        <v>89</v>
      </c>
      <c r="Y12" s="105">
        <f t="shared" si="73"/>
        <v>4</v>
      </c>
      <c r="Z12" s="105" t="s">
        <v>91</v>
      </c>
      <c r="AA12" s="105">
        <f t="shared" si="74"/>
        <v>0.5</v>
      </c>
      <c r="AB12" s="105" t="s">
        <v>89</v>
      </c>
      <c r="AC12" s="105">
        <f t="shared" si="75"/>
        <v>4</v>
      </c>
      <c r="AD12" s="105" t="s">
        <v>89</v>
      </c>
      <c r="AE12" s="105">
        <f t="shared" si="76"/>
        <v>4</v>
      </c>
      <c r="AF12" s="105">
        <v>3</v>
      </c>
      <c r="AG12" s="105">
        <f t="shared" si="77"/>
        <v>3</v>
      </c>
      <c r="AH12" s="105" t="s">
        <v>89</v>
      </c>
      <c r="AI12" s="105">
        <f t="shared" si="78"/>
        <v>4</v>
      </c>
      <c r="AJ12" s="105" t="s">
        <v>57</v>
      </c>
      <c r="AK12" s="107" t="s">
        <v>90</v>
      </c>
      <c r="AL12" s="108" t="s">
        <v>90</v>
      </c>
      <c r="AM12" s="109">
        <f t="shared" si="79"/>
        <v>4</v>
      </c>
      <c r="AN12" s="110">
        <v>94.400000000000006</v>
      </c>
      <c r="AO12" s="111">
        <f t="shared" si="80"/>
        <v>4</v>
      </c>
      <c r="AP12" s="112">
        <v>52.100000000000001</v>
      </c>
      <c r="AQ12" s="111">
        <f t="shared" si="81"/>
        <v>4</v>
      </c>
      <c r="AR12" s="110">
        <v>1</v>
      </c>
      <c r="AS12" s="111">
        <f t="shared" si="82"/>
        <v>0</v>
      </c>
      <c r="AT12" s="110">
        <v>2</v>
      </c>
      <c r="AU12" s="113">
        <f t="shared" si="83"/>
        <v>0</v>
      </c>
      <c r="AV12">
        <v>7.5999999999999996</v>
      </c>
      <c r="AW12" s="105">
        <f t="shared" si="84"/>
        <v>2</v>
      </c>
      <c r="AX12" s="105" t="s">
        <v>89</v>
      </c>
      <c r="AY12" s="105">
        <f t="shared" si="85"/>
        <v>4</v>
      </c>
      <c r="AZ12" s="105" t="s">
        <v>89</v>
      </c>
      <c r="BA12" s="105">
        <f t="shared" si="86"/>
        <v>0.5</v>
      </c>
      <c r="BB12" s="105" t="s">
        <v>89</v>
      </c>
      <c r="BC12" s="105">
        <f t="shared" si="87"/>
        <v>0.5</v>
      </c>
      <c r="BD12" s="105" t="s">
        <v>89</v>
      </c>
      <c r="BE12" s="105">
        <f t="shared" si="88"/>
        <v>0.5</v>
      </c>
      <c r="BF12" s="105" t="s">
        <v>89</v>
      </c>
      <c r="BG12" s="105">
        <f t="shared" si="89"/>
        <v>0.5</v>
      </c>
      <c r="BH12" s="105" t="s">
        <v>89</v>
      </c>
      <c r="BI12" s="105">
        <f t="shared" si="90"/>
        <v>0.5</v>
      </c>
      <c r="BJ12" s="105" t="s">
        <v>89</v>
      </c>
      <c r="BK12" s="105">
        <f t="shared" si="91"/>
        <v>4</v>
      </c>
      <c r="BL12" s="105" t="s">
        <v>90</v>
      </c>
      <c r="BM12" s="105">
        <f t="shared" si="92"/>
        <v>0</v>
      </c>
      <c r="BN12" s="105" t="s">
        <v>90</v>
      </c>
      <c r="BO12" s="105">
        <f t="shared" si="93"/>
        <v>0</v>
      </c>
      <c r="BP12" s="105" t="s">
        <v>91</v>
      </c>
      <c r="BQ12" s="107">
        <f t="shared" si="94"/>
        <v>1.5</v>
      </c>
      <c r="BR12" s="114">
        <v>3250</v>
      </c>
      <c r="BS12" s="115">
        <v>3737</v>
      </c>
      <c r="BT12" s="116">
        <f t="shared" si="95"/>
        <v>4</v>
      </c>
      <c r="BU12" s="117" t="s">
        <v>91</v>
      </c>
      <c r="BV12" s="117">
        <f t="shared" si="96"/>
        <v>6</v>
      </c>
      <c r="BW12" s="117" t="s">
        <v>90</v>
      </c>
      <c r="BX12" s="117">
        <f t="shared" si="97"/>
        <v>0</v>
      </c>
      <c r="BY12" s="117" t="s">
        <v>90</v>
      </c>
      <c r="BZ12" s="117">
        <f t="shared" si="98"/>
        <v>0</v>
      </c>
      <c r="CA12" s="117" t="s">
        <v>90</v>
      </c>
      <c r="CB12" s="117">
        <f t="shared" si="99"/>
        <v>0</v>
      </c>
      <c r="CC12" s="117" t="s">
        <v>90</v>
      </c>
      <c r="CD12" s="117">
        <f t="shared" si="100"/>
        <v>0</v>
      </c>
      <c r="CE12" s="117" t="s">
        <v>90</v>
      </c>
      <c r="CF12" s="117">
        <f t="shared" si="101"/>
        <v>0</v>
      </c>
      <c r="CG12" s="118">
        <v>277.13</v>
      </c>
      <c r="CH12" s="119">
        <v>210.83000000000001</v>
      </c>
      <c r="CI12" s="106">
        <f t="shared" si="102"/>
        <v>-2</v>
      </c>
      <c r="CJ12" s="121">
        <v>127598</v>
      </c>
      <c r="CK12" s="121">
        <v>150379.39999999999</v>
      </c>
      <c r="CL12" s="122">
        <f t="shared" si="103"/>
        <v>4</v>
      </c>
      <c r="CM12" s="123" t="s">
        <v>90</v>
      </c>
      <c r="CN12" s="123">
        <f t="shared" si="104"/>
        <v>0</v>
      </c>
      <c r="CO12" s="123" t="s">
        <v>91</v>
      </c>
      <c r="CP12" s="123">
        <f t="shared" si="105"/>
        <v>4</v>
      </c>
      <c r="CQ12" s="123" t="s">
        <v>90</v>
      </c>
      <c r="CR12" s="123">
        <f t="shared" si="106"/>
        <v>0</v>
      </c>
      <c r="CS12" s="123" t="s">
        <v>90</v>
      </c>
      <c r="CT12" s="124">
        <f t="shared" si="107"/>
        <v>0</v>
      </c>
      <c r="CU12" s="121">
        <v>1111.9739999999999</v>
      </c>
      <c r="CV12" s="121">
        <v>465.31999999999999</v>
      </c>
      <c r="CW12" s="125">
        <f t="shared" si="108"/>
        <v>-2</v>
      </c>
      <c r="CX12" s="147">
        <v>117.5</v>
      </c>
      <c r="CY12" s="127">
        <f t="shared" si="109"/>
        <v>6</v>
      </c>
      <c r="CZ12" s="148">
        <v>965960</v>
      </c>
      <c r="DA12" s="128">
        <v>1026900</v>
      </c>
      <c r="DB12" s="127">
        <f t="shared" si="110"/>
        <v>6</v>
      </c>
      <c r="DC12" s="127">
        <v>-2</v>
      </c>
      <c r="DD12" s="105" t="s">
        <v>89</v>
      </c>
      <c r="DE12" s="129">
        <f t="shared" si="111"/>
        <v>4</v>
      </c>
      <c r="DF12" s="157">
        <v>73.099999999999994</v>
      </c>
      <c r="DG12" s="131">
        <f t="shared" si="112"/>
        <v>4</v>
      </c>
      <c r="DH12" s="117" t="s">
        <v>57</v>
      </c>
      <c r="DI12" s="132">
        <f t="shared" si="113"/>
        <v>0</v>
      </c>
      <c r="DJ12" s="133" t="s">
        <v>89</v>
      </c>
      <c r="DK12" s="134">
        <f t="shared" si="114"/>
        <v>4</v>
      </c>
      <c r="DL12" s="133" t="s">
        <v>89</v>
      </c>
      <c r="DM12" s="135">
        <f t="shared" si="115"/>
        <v>4</v>
      </c>
      <c r="DN12" s="131" t="s">
        <v>90</v>
      </c>
      <c r="DO12" s="170">
        <f t="shared" si="116"/>
        <v>0</v>
      </c>
      <c r="DP12" s="135" t="s">
        <v>90</v>
      </c>
      <c r="DQ12" s="129">
        <f t="shared" si="117"/>
        <v>0</v>
      </c>
      <c r="DR12" s="136">
        <f>(53.5+52.9+48.3)/3</f>
        <v>51.566666666666663</v>
      </c>
      <c r="DS12" s="105">
        <f t="shared" si="118"/>
        <v>4</v>
      </c>
      <c r="DT12" s="137">
        <v>50</v>
      </c>
      <c r="DU12" s="105">
        <f t="shared" si="119"/>
        <v>4</v>
      </c>
      <c r="DV12" s="138">
        <v>33</v>
      </c>
      <c r="DW12" s="139">
        <f t="shared" si="120"/>
        <v>1</v>
      </c>
      <c r="DX12" s="150">
        <v>25</v>
      </c>
      <c r="DY12" s="141">
        <f t="shared" si="121"/>
        <v>1</v>
      </c>
      <c r="DZ12" s="142">
        <f t="shared" si="122"/>
        <v>111.5</v>
      </c>
      <c r="EA12" s="143">
        <f t="shared" si="123"/>
        <v>8</v>
      </c>
    </row>
    <row r="13" s="1" customFormat="1" ht="15">
      <c r="A13" s="104" t="s">
        <v>100</v>
      </c>
      <c r="B13" s="105" t="s">
        <v>89</v>
      </c>
      <c r="C13" s="105">
        <f t="shared" si="62"/>
        <v>4</v>
      </c>
      <c r="D13" s="105" t="s">
        <v>89</v>
      </c>
      <c r="E13" s="105">
        <f t="shared" si="63"/>
        <v>4</v>
      </c>
      <c r="F13" s="105" t="s">
        <v>90</v>
      </c>
      <c r="G13" s="105">
        <f t="shared" si="64"/>
        <v>0</v>
      </c>
      <c r="H13" s="105" t="s">
        <v>91</v>
      </c>
      <c r="I13" s="105">
        <f t="shared" si="65"/>
        <v>1</v>
      </c>
      <c r="J13" s="105" t="s">
        <v>90</v>
      </c>
      <c r="K13" s="105">
        <f t="shared" si="66"/>
        <v>0</v>
      </c>
      <c r="L13" s="105" t="s">
        <v>91</v>
      </c>
      <c r="M13" s="105">
        <f t="shared" si="67"/>
        <v>1</v>
      </c>
      <c r="N13" s="106" t="s">
        <v>89</v>
      </c>
      <c r="O13" s="105">
        <f t="shared" si="68"/>
        <v>4</v>
      </c>
      <c r="P13" s="106" t="s">
        <v>89</v>
      </c>
      <c r="Q13" s="105">
        <f t="shared" si="69"/>
        <v>0.5</v>
      </c>
      <c r="R13" s="105" t="s">
        <v>89</v>
      </c>
      <c r="S13" s="105">
        <f t="shared" si="70"/>
        <v>0.5</v>
      </c>
      <c r="T13" s="105" t="s">
        <v>89</v>
      </c>
      <c r="U13" s="105">
        <f t="shared" si="71"/>
        <v>0.5</v>
      </c>
      <c r="V13" s="106" t="s">
        <v>89</v>
      </c>
      <c r="W13" s="105">
        <f t="shared" si="72"/>
        <v>0.5</v>
      </c>
      <c r="X13" s="105" t="s">
        <v>89</v>
      </c>
      <c r="Y13" s="105">
        <f t="shared" si="73"/>
        <v>4</v>
      </c>
      <c r="Z13" s="105" t="s">
        <v>91</v>
      </c>
      <c r="AA13" s="105">
        <f t="shared" si="74"/>
        <v>0.5</v>
      </c>
      <c r="AB13" s="105" t="s">
        <v>89</v>
      </c>
      <c r="AC13" s="105">
        <f t="shared" si="75"/>
        <v>4</v>
      </c>
      <c r="AD13" s="105" t="s">
        <v>89</v>
      </c>
      <c r="AE13" s="105">
        <f t="shared" si="76"/>
        <v>4</v>
      </c>
      <c r="AF13" s="105">
        <v>10</v>
      </c>
      <c r="AG13" s="105">
        <f t="shared" si="77"/>
        <v>10</v>
      </c>
      <c r="AH13" s="106" t="s">
        <v>89</v>
      </c>
      <c r="AI13" s="105">
        <f t="shared" si="78"/>
        <v>4</v>
      </c>
      <c r="AJ13" s="105" t="s">
        <v>57</v>
      </c>
      <c r="AK13" s="107" t="s">
        <v>90</v>
      </c>
      <c r="AL13" s="108" t="s">
        <v>90</v>
      </c>
      <c r="AM13" s="109">
        <f t="shared" si="79"/>
        <v>4</v>
      </c>
      <c r="AN13" s="110">
        <v>83.5</v>
      </c>
      <c r="AO13" s="111">
        <f t="shared" si="80"/>
        <v>4</v>
      </c>
      <c r="AP13" s="112">
        <v>61.600000000000001</v>
      </c>
      <c r="AQ13" s="111">
        <f t="shared" si="81"/>
        <v>4</v>
      </c>
      <c r="AR13" s="110">
        <v>1.5</v>
      </c>
      <c r="AS13" s="111">
        <f t="shared" si="82"/>
        <v>0</v>
      </c>
      <c r="AT13" s="110">
        <v>2.6000000000000001</v>
      </c>
      <c r="AU13" s="113">
        <f t="shared" si="83"/>
        <v>0</v>
      </c>
      <c r="AV13" s="145">
        <v>6.4000000000000004</v>
      </c>
      <c r="AW13" s="105">
        <f t="shared" si="84"/>
        <v>2</v>
      </c>
      <c r="AX13" s="106" t="s">
        <v>89</v>
      </c>
      <c r="AY13" s="105">
        <f t="shared" si="85"/>
        <v>4</v>
      </c>
      <c r="AZ13" s="106" t="s">
        <v>89</v>
      </c>
      <c r="BA13" s="105">
        <f t="shared" si="86"/>
        <v>0.5</v>
      </c>
      <c r="BB13" s="106" t="s">
        <v>89</v>
      </c>
      <c r="BC13" s="105">
        <f t="shared" si="87"/>
        <v>0.5</v>
      </c>
      <c r="BD13" s="106" t="s">
        <v>89</v>
      </c>
      <c r="BE13" s="105">
        <f t="shared" si="88"/>
        <v>0.5</v>
      </c>
      <c r="BF13" s="106" t="s">
        <v>89</v>
      </c>
      <c r="BG13" s="105">
        <f t="shared" si="89"/>
        <v>0.5</v>
      </c>
      <c r="BH13" s="105" t="s">
        <v>89</v>
      </c>
      <c r="BI13" s="105">
        <f t="shared" si="90"/>
        <v>0.5</v>
      </c>
      <c r="BJ13" s="105" t="s">
        <v>89</v>
      </c>
      <c r="BK13" s="105">
        <f t="shared" si="91"/>
        <v>4</v>
      </c>
      <c r="BL13" s="105" t="s">
        <v>90</v>
      </c>
      <c r="BM13" s="105">
        <f t="shared" si="92"/>
        <v>0</v>
      </c>
      <c r="BN13" s="105" t="s">
        <v>90</v>
      </c>
      <c r="BO13" s="105">
        <f t="shared" si="93"/>
        <v>0</v>
      </c>
      <c r="BP13" s="105" t="s">
        <v>91</v>
      </c>
      <c r="BQ13" s="107">
        <f t="shared" si="94"/>
        <v>1.5</v>
      </c>
      <c r="BR13" s="114">
        <v>13756.6</v>
      </c>
      <c r="BS13" s="115">
        <v>20346.099999999999</v>
      </c>
      <c r="BT13" s="116">
        <f t="shared" si="95"/>
        <v>4</v>
      </c>
      <c r="BU13" s="117" t="s">
        <v>90</v>
      </c>
      <c r="BV13" s="117">
        <f t="shared" si="96"/>
        <v>0</v>
      </c>
      <c r="BW13" s="117" t="s">
        <v>91</v>
      </c>
      <c r="BX13" s="117">
        <f t="shared" si="97"/>
        <v>4</v>
      </c>
      <c r="BY13" s="117" t="s">
        <v>90</v>
      </c>
      <c r="BZ13" s="117">
        <f t="shared" si="98"/>
        <v>0</v>
      </c>
      <c r="CA13" s="117" t="s">
        <v>90</v>
      </c>
      <c r="CB13" s="117">
        <f t="shared" si="99"/>
        <v>0</v>
      </c>
      <c r="CC13" s="6" t="s">
        <v>90</v>
      </c>
      <c r="CD13" s="117">
        <f t="shared" si="100"/>
        <v>0</v>
      </c>
      <c r="CE13" s="6" t="s">
        <v>90</v>
      </c>
      <c r="CF13" s="117">
        <f t="shared" si="101"/>
        <v>0</v>
      </c>
      <c r="CG13" s="118">
        <v>277.13</v>
      </c>
      <c r="CH13" s="119">
        <v>271.99000000000001</v>
      </c>
      <c r="CI13" s="120">
        <f t="shared" si="102"/>
        <v>-2</v>
      </c>
      <c r="CJ13" s="121">
        <v>78724</v>
      </c>
      <c r="CK13" s="121">
        <v>81987.710000000006</v>
      </c>
      <c r="CL13" s="122">
        <f t="shared" si="103"/>
        <v>2</v>
      </c>
      <c r="CM13" s="123" t="s">
        <v>91</v>
      </c>
      <c r="CN13" s="123">
        <f t="shared" si="104"/>
        <v>6</v>
      </c>
      <c r="CO13" s="123" t="s">
        <v>90</v>
      </c>
      <c r="CP13" s="123">
        <f t="shared" si="105"/>
        <v>0</v>
      </c>
      <c r="CQ13" s="123" t="s">
        <v>90</v>
      </c>
      <c r="CR13" s="123">
        <f t="shared" si="106"/>
        <v>0</v>
      </c>
      <c r="CS13" s="123" t="s">
        <v>90</v>
      </c>
      <c r="CT13" s="124">
        <f t="shared" si="107"/>
        <v>0</v>
      </c>
      <c r="CU13" s="146">
        <v>1164.367</v>
      </c>
      <c r="CV13" s="121">
        <v>37.530000000000001</v>
      </c>
      <c r="CW13" s="125">
        <f t="shared" si="108"/>
        <v>-2</v>
      </c>
      <c r="CX13" s="126">
        <v>116</v>
      </c>
      <c r="CY13" s="127">
        <f t="shared" si="109"/>
        <v>6</v>
      </c>
      <c r="CZ13" s="148">
        <v>11745235</v>
      </c>
      <c r="DA13" s="128">
        <v>4554123</v>
      </c>
      <c r="DB13" s="127">
        <f t="shared" si="110"/>
        <v>0</v>
      </c>
      <c r="DC13" s="127">
        <v>0</v>
      </c>
      <c r="DD13" s="105" t="s">
        <v>89</v>
      </c>
      <c r="DE13" s="129">
        <f t="shared" si="111"/>
        <v>4</v>
      </c>
      <c r="DF13" s="157">
        <v>85.400000000000006</v>
      </c>
      <c r="DG13" s="131">
        <f t="shared" si="112"/>
        <v>4</v>
      </c>
      <c r="DH13" s="117" t="s">
        <v>57</v>
      </c>
      <c r="DI13" s="132">
        <f t="shared" si="113"/>
        <v>0</v>
      </c>
      <c r="DJ13" s="133" t="s">
        <v>89</v>
      </c>
      <c r="DK13" s="134">
        <f t="shared" si="114"/>
        <v>4</v>
      </c>
      <c r="DL13" s="133" t="s">
        <v>89</v>
      </c>
      <c r="DM13" s="135">
        <f t="shared" si="115"/>
        <v>4</v>
      </c>
      <c r="DN13" s="131" t="s">
        <v>90</v>
      </c>
      <c r="DO13" s="170">
        <f t="shared" si="116"/>
        <v>0</v>
      </c>
      <c r="DP13" s="135" t="s">
        <v>91</v>
      </c>
      <c r="DQ13" s="129">
        <f t="shared" si="117"/>
        <v>0</v>
      </c>
      <c r="DR13" s="136">
        <f>(60.7+62.9+62.9)/3</f>
        <v>62.166666666666664</v>
      </c>
      <c r="DS13" s="106">
        <f t="shared" si="118"/>
        <v>4</v>
      </c>
      <c r="DT13" s="149">
        <v>87.5</v>
      </c>
      <c r="DU13" s="106">
        <f t="shared" si="119"/>
        <v>4</v>
      </c>
      <c r="DV13" s="138">
        <v>12.5</v>
      </c>
      <c r="DW13" s="139">
        <f t="shared" si="120"/>
        <v>-2</v>
      </c>
      <c r="DX13" s="150">
        <v>37.5</v>
      </c>
      <c r="DY13" s="106">
        <f t="shared" si="121"/>
        <v>2</v>
      </c>
      <c r="DZ13" s="142">
        <f t="shared" si="122"/>
        <v>110.5</v>
      </c>
      <c r="EA13" s="143">
        <f t="shared" si="123"/>
        <v>10</v>
      </c>
    </row>
    <row r="14" s="1" customFormat="1" ht="15">
      <c r="A14" s="104" t="s">
        <v>101</v>
      </c>
      <c r="B14" s="105" t="s">
        <v>89</v>
      </c>
      <c r="C14" s="105">
        <f t="shared" si="62"/>
        <v>4</v>
      </c>
      <c r="D14" s="105" t="s">
        <v>89</v>
      </c>
      <c r="E14" s="105">
        <f t="shared" si="63"/>
        <v>4</v>
      </c>
      <c r="F14" s="105" t="s">
        <v>90</v>
      </c>
      <c r="G14" s="105">
        <f t="shared" si="64"/>
        <v>0</v>
      </c>
      <c r="H14" s="105" t="s">
        <v>91</v>
      </c>
      <c r="I14" s="105">
        <f t="shared" si="65"/>
        <v>1</v>
      </c>
      <c r="J14" s="105" t="s">
        <v>91</v>
      </c>
      <c r="K14" s="105">
        <f t="shared" si="66"/>
        <v>0.5</v>
      </c>
      <c r="L14" s="105" t="s">
        <v>90</v>
      </c>
      <c r="M14" s="105">
        <f t="shared" si="67"/>
        <v>0</v>
      </c>
      <c r="N14" s="105" t="s">
        <v>89</v>
      </c>
      <c r="O14" s="105">
        <f t="shared" si="68"/>
        <v>4</v>
      </c>
      <c r="P14" s="105" t="s">
        <v>89</v>
      </c>
      <c r="Q14" s="105">
        <f t="shared" si="69"/>
        <v>0.5</v>
      </c>
      <c r="R14" s="106" t="s">
        <v>89</v>
      </c>
      <c r="S14" s="105">
        <f t="shared" si="70"/>
        <v>0.5</v>
      </c>
      <c r="T14" s="106" t="s">
        <v>89</v>
      </c>
      <c r="U14" s="105">
        <f t="shared" si="71"/>
        <v>0.5</v>
      </c>
      <c r="V14" s="105" t="s">
        <v>89</v>
      </c>
      <c r="W14" s="105">
        <f t="shared" si="72"/>
        <v>0.5</v>
      </c>
      <c r="X14" s="106" t="s">
        <v>89</v>
      </c>
      <c r="Y14" s="105">
        <f t="shared" si="73"/>
        <v>4</v>
      </c>
      <c r="Z14" s="105" t="s">
        <v>91</v>
      </c>
      <c r="AA14" s="105">
        <f t="shared" si="74"/>
        <v>0.5</v>
      </c>
      <c r="AB14" s="106" t="s">
        <v>89</v>
      </c>
      <c r="AC14" s="105">
        <f t="shared" si="75"/>
        <v>4</v>
      </c>
      <c r="AD14" s="105" t="s">
        <v>89</v>
      </c>
      <c r="AE14" s="105">
        <f t="shared" si="76"/>
        <v>4</v>
      </c>
      <c r="AF14" s="105">
        <v>0</v>
      </c>
      <c r="AG14" s="105">
        <f t="shared" si="77"/>
        <v>0</v>
      </c>
      <c r="AH14" s="105" t="s">
        <v>89</v>
      </c>
      <c r="AI14" s="105">
        <f t="shared" si="78"/>
        <v>4</v>
      </c>
      <c r="AJ14" s="105" t="s">
        <v>57</v>
      </c>
      <c r="AK14" s="107" t="s">
        <v>90</v>
      </c>
      <c r="AL14" s="108" t="s">
        <v>90</v>
      </c>
      <c r="AM14" s="109">
        <f t="shared" si="79"/>
        <v>4</v>
      </c>
      <c r="AN14" s="144">
        <v>87.5</v>
      </c>
      <c r="AO14" s="111">
        <f t="shared" si="80"/>
        <v>4</v>
      </c>
      <c r="AP14" s="112">
        <v>77.900000000000006</v>
      </c>
      <c r="AQ14" s="111">
        <f t="shared" si="81"/>
        <v>4</v>
      </c>
      <c r="AR14" s="110">
        <v>2</v>
      </c>
      <c r="AS14" s="111">
        <f t="shared" si="82"/>
        <v>4</v>
      </c>
      <c r="AT14" s="110">
        <v>2.7999999999999998</v>
      </c>
      <c r="AU14" s="113">
        <f t="shared" si="83"/>
        <v>4</v>
      </c>
      <c r="AV14">
        <v>8.3000000000000007</v>
      </c>
      <c r="AW14" s="105">
        <f t="shared" si="84"/>
        <v>2</v>
      </c>
      <c r="AX14" s="105" t="s">
        <v>89</v>
      </c>
      <c r="AY14" s="105">
        <f t="shared" si="85"/>
        <v>4</v>
      </c>
      <c r="AZ14" s="105" t="s">
        <v>89</v>
      </c>
      <c r="BA14" s="105">
        <f t="shared" si="86"/>
        <v>0.5</v>
      </c>
      <c r="BB14" s="105" t="s">
        <v>89</v>
      </c>
      <c r="BC14" s="105">
        <f t="shared" si="87"/>
        <v>0.5</v>
      </c>
      <c r="BD14" s="105" t="s">
        <v>89</v>
      </c>
      <c r="BE14" s="105">
        <f t="shared" si="88"/>
        <v>0.5</v>
      </c>
      <c r="BF14" s="105" t="s">
        <v>89</v>
      </c>
      <c r="BG14" s="105">
        <f t="shared" si="89"/>
        <v>0.5</v>
      </c>
      <c r="BH14" s="106" t="s">
        <v>89</v>
      </c>
      <c r="BI14" s="105">
        <f t="shared" si="90"/>
        <v>0.5</v>
      </c>
      <c r="BJ14" s="106" t="s">
        <v>89</v>
      </c>
      <c r="BK14" s="105">
        <f t="shared" si="91"/>
        <v>4</v>
      </c>
      <c r="BL14" s="105" t="s">
        <v>90</v>
      </c>
      <c r="BM14" s="105">
        <f t="shared" si="92"/>
        <v>0</v>
      </c>
      <c r="BN14" s="105" t="s">
        <v>91</v>
      </c>
      <c r="BO14" s="105">
        <f t="shared" si="93"/>
        <v>1</v>
      </c>
      <c r="BP14" s="105" t="s">
        <v>90</v>
      </c>
      <c r="BQ14" s="107">
        <f t="shared" si="94"/>
        <v>0</v>
      </c>
      <c r="BR14" s="114">
        <v>1380.5999999999999</v>
      </c>
      <c r="BS14" s="115">
        <v>2129</v>
      </c>
      <c r="BT14" s="116">
        <f t="shared" si="95"/>
        <v>4</v>
      </c>
      <c r="BU14" s="117" t="s">
        <v>90</v>
      </c>
      <c r="BV14" s="117">
        <f t="shared" si="96"/>
        <v>0</v>
      </c>
      <c r="BW14" s="117" t="s">
        <v>90</v>
      </c>
      <c r="BX14" s="117">
        <f t="shared" si="97"/>
        <v>0</v>
      </c>
      <c r="BY14" s="117" t="s">
        <v>91</v>
      </c>
      <c r="BZ14" s="117">
        <f t="shared" si="98"/>
        <v>2</v>
      </c>
      <c r="CA14" s="117" t="s">
        <v>90</v>
      </c>
      <c r="CB14" s="117">
        <f t="shared" si="99"/>
        <v>0</v>
      </c>
      <c r="CC14" s="117" t="s">
        <v>90</v>
      </c>
      <c r="CD14" s="117">
        <f t="shared" si="100"/>
        <v>0</v>
      </c>
      <c r="CE14" s="117" t="s">
        <v>90</v>
      </c>
      <c r="CF14" s="117">
        <f t="shared" si="101"/>
        <v>0</v>
      </c>
      <c r="CG14" s="118">
        <v>277.13</v>
      </c>
      <c r="CH14" s="119">
        <v>231.91</v>
      </c>
      <c r="CI14" s="106">
        <f t="shared" si="102"/>
        <v>-2</v>
      </c>
      <c r="CJ14" s="121">
        <v>109637</v>
      </c>
      <c r="CK14" s="121">
        <v>85592.649999999994</v>
      </c>
      <c r="CL14" s="122">
        <f t="shared" si="103"/>
        <v>-2</v>
      </c>
      <c r="CM14" s="123" t="s">
        <v>90</v>
      </c>
      <c r="CN14" s="123">
        <f t="shared" si="104"/>
        <v>0</v>
      </c>
      <c r="CO14" s="123" t="s">
        <v>91</v>
      </c>
      <c r="CP14" s="123">
        <f t="shared" si="105"/>
        <v>4</v>
      </c>
      <c r="CQ14" s="123" t="s">
        <v>90</v>
      </c>
      <c r="CR14" s="123">
        <f t="shared" si="106"/>
        <v>0</v>
      </c>
      <c r="CS14" s="123" t="s">
        <v>90</v>
      </c>
      <c r="CT14" s="124">
        <f t="shared" si="107"/>
        <v>0</v>
      </c>
      <c r="CU14" s="121">
        <v>1656.2049999999999</v>
      </c>
      <c r="CV14" s="121">
        <v>811.37</v>
      </c>
      <c r="CW14" s="125">
        <f t="shared" si="108"/>
        <v>-2</v>
      </c>
      <c r="CX14" s="147">
        <v>117.90000000000001</v>
      </c>
      <c r="CY14" s="127">
        <f t="shared" si="109"/>
        <v>6</v>
      </c>
      <c r="CZ14" s="148">
        <v>405726</v>
      </c>
      <c r="DA14" s="128">
        <v>488795</v>
      </c>
      <c r="DB14" s="127">
        <f t="shared" si="110"/>
        <v>6</v>
      </c>
      <c r="DC14" s="127">
        <v>4</v>
      </c>
      <c r="DD14" s="105" t="s">
        <v>89</v>
      </c>
      <c r="DE14" s="129">
        <f t="shared" si="111"/>
        <v>4</v>
      </c>
      <c r="DF14" s="130">
        <v>77.700000000000003</v>
      </c>
      <c r="DG14" s="131">
        <f t="shared" si="112"/>
        <v>4</v>
      </c>
      <c r="DH14" s="117" t="s">
        <v>57</v>
      </c>
      <c r="DI14" s="132">
        <f t="shared" si="113"/>
        <v>0</v>
      </c>
      <c r="DJ14" s="133" t="s">
        <v>89</v>
      </c>
      <c r="DK14" s="134">
        <f t="shared" si="114"/>
        <v>4</v>
      </c>
      <c r="DL14" s="133" t="s">
        <v>89</v>
      </c>
      <c r="DM14" s="135">
        <f t="shared" si="115"/>
        <v>4</v>
      </c>
      <c r="DN14" s="131" t="s">
        <v>90</v>
      </c>
      <c r="DO14" s="170">
        <f t="shared" si="116"/>
        <v>0</v>
      </c>
      <c r="DP14" s="135" t="s">
        <v>90</v>
      </c>
      <c r="DQ14" s="129">
        <f t="shared" si="117"/>
        <v>0</v>
      </c>
      <c r="DR14" s="136">
        <f>(41.7+40.5+40.5)/3</f>
        <v>40.899999999999999</v>
      </c>
      <c r="DS14" s="105">
        <f t="shared" si="118"/>
        <v>2</v>
      </c>
      <c r="DT14" s="137">
        <v>33.299999999999997</v>
      </c>
      <c r="DU14" s="105">
        <f t="shared" si="119"/>
        <v>2</v>
      </c>
      <c r="DV14" s="138">
        <v>33.299999999999997</v>
      </c>
      <c r="DW14" s="139">
        <f t="shared" si="120"/>
        <v>1</v>
      </c>
      <c r="DX14" s="150">
        <v>33.299999999999997</v>
      </c>
      <c r="DY14" s="141">
        <f t="shared" si="121"/>
        <v>2</v>
      </c>
      <c r="DZ14" s="142">
        <f t="shared" si="122"/>
        <v>108.5</v>
      </c>
      <c r="EA14" s="143">
        <f t="shared" si="123"/>
        <v>11</v>
      </c>
    </row>
    <row r="15" s="1" customFormat="1" ht="15">
      <c r="A15" s="104" t="s">
        <v>102</v>
      </c>
      <c r="B15" s="105" t="s">
        <v>89</v>
      </c>
      <c r="C15" s="105">
        <f t="shared" si="62"/>
        <v>4</v>
      </c>
      <c r="D15" s="105" t="s">
        <v>89</v>
      </c>
      <c r="E15" s="105">
        <f t="shared" si="63"/>
        <v>4</v>
      </c>
      <c r="F15" s="105" t="s">
        <v>91</v>
      </c>
      <c r="G15" s="105">
        <f t="shared" si="64"/>
        <v>0.5</v>
      </c>
      <c r="H15" s="105" t="s">
        <v>90</v>
      </c>
      <c r="I15" s="105">
        <f t="shared" si="65"/>
        <v>0</v>
      </c>
      <c r="J15" s="105" t="s">
        <v>91</v>
      </c>
      <c r="K15" s="105">
        <f t="shared" si="66"/>
        <v>0.5</v>
      </c>
      <c r="L15" s="105" t="s">
        <v>90</v>
      </c>
      <c r="M15" s="105">
        <f t="shared" si="67"/>
        <v>0</v>
      </c>
      <c r="N15" s="106" t="s">
        <v>89</v>
      </c>
      <c r="O15" s="105">
        <f t="shared" si="68"/>
        <v>4</v>
      </c>
      <c r="P15" s="106" t="s">
        <v>89</v>
      </c>
      <c r="Q15" s="105">
        <f t="shared" si="69"/>
        <v>0.5</v>
      </c>
      <c r="R15" s="105" t="s">
        <v>89</v>
      </c>
      <c r="S15" s="105">
        <f t="shared" si="70"/>
        <v>0.5</v>
      </c>
      <c r="T15" s="105" t="s">
        <v>89</v>
      </c>
      <c r="U15" s="105">
        <f t="shared" si="71"/>
        <v>0.5</v>
      </c>
      <c r="V15" s="106" t="s">
        <v>89</v>
      </c>
      <c r="W15" s="105">
        <f t="shared" si="72"/>
        <v>0.5</v>
      </c>
      <c r="X15" s="105" t="s">
        <v>89</v>
      </c>
      <c r="Y15" s="105">
        <f t="shared" si="73"/>
        <v>4</v>
      </c>
      <c r="Z15" s="105" t="s">
        <v>91</v>
      </c>
      <c r="AA15" s="105">
        <f t="shared" si="74"/>
        <v>0.5</v>
      </c>
      <c r="AB15" s="105" t="s">
        <v>89</v>
      </c>
      <c r="AC15" s="105">
        <f t="shared" si="75"/>
        <v>4</v>
      </c>
      <c r="AD15" s="105" t="s">
        <v>89</v>
      </c>
      <c r="AE15" s="105">
        <f t="shared" si="76"/>
        <v>4</v>
      </c>
      <c r="AF15" s="105">
        <v>1</v>
      </c>
      <c r="AG15" s="105">
        <f t="shared" si="77"/>
        <v>1</v>
      </c>
      <c r="AH15" s="106" t="s">
        <v>89</v>
      </c>
      <c r="AI15" s="105">
        <f t="shared" si="78"/>
        <v>4</v>
      </c>
      <c r="AJ15" s="105" t="s">
        <v>90</v>
      </c>
      <c r="AK15" s="107" t="s">
        <v>89</v>
      </c>
      <c r="AL15" s="108" t="s">
        <v>90</v>
      </c>
      <c r="AM15" s="109">
        <f t="shared" si="79"/>
        <v>0</v>
      </c>
      <c r="AN15" s="144">
        <v>82.299999999999997</v>
      </c>
      <c r="AO15" s="111">
        <f t="shared" si="80"/>
        <v>4</v>
      </c>
      <c r="AP15" s="173">
        <v>74.299999999999997</v>
      </c>
      <c r="AQ15" s="111">
        <f t="shared" si="81"/>
        <v>4</v>
      </c>
      <c r="AR15" s="174">
        <v>1</v>
      </c>
      <c r="AS15" s="111">
        <v>0</v>
      </c>
      <c r="AT15" s="144">
        <v>1.7</v>
      </c>
      <c r="AU15" s="113">
        <f t="shared" si="83"/>
        <v>0</v>
      </c>
      <c r="AV15" s="175">
        <v>2.7000000000000002</v>
      </c>
      <c r="AW15" s="105">
        <f t="shared" si="84"/>
        <v>2</v>
      </c>
      <c r="AX15" s="106" t="s">
        <v>89</v>
      </c>
      <c r="AY15" s="105">
        <f t="shared" si="85"/>
        <v>4</v>
      </c>
      <c r="AZ15" s="106" t="s">
        <v>89</v>
      </c>
      <c r="BA15" s="105">
        <f t="shared" si="86"/>
        <v>0.5</v>
      </c>
      <c r="BB15" s="106" t="s">
        <v>89</v>
      </c>
      <c r="BC15" s="105">
        <f t="shared" si="87"/>
        <v>0.5</v>
      </c>
      <c r="BD15" s="106" t="s">
        <v>89</v>
      </c>
      <c r="BE15" s="105">
        <f t="shared" si="88"/>
        <v>0.5</v>
      </c>
      <c r="BF15" s="106" t="s">
        <v>89</v>
      </c>
      <c r="BG15" s="105">
        <f t="shared" si="89"/>
        <v>0.5</v>
      </c>
      <c r="BH15" s="105" t="s">
        <v>89</v>
      </c>
      <c r="BI15" s="105">
        <f t="shared" si="90"/>
        <v>0.5</v>
      </c>
      <c r="BJ15" s="105" t="s">
        <v>89</v>
      </c>
      <c r="BK15" s="105">
        <f t="shared" si="91"/>
        <v>4</v>
      </c>
      <c r="BL15" s="105" t="s">
        <v>90</v>
      </c>
      <c r="BM15" s="105">
        <f t="shared" si="92"/>
        <v>0</v>
      </c>
      <c r="BN15" s="105" t="s">
        <v>91</v>
      </c>
      <c r="BO15" s="105">
        <f t="shared" si="93"/>
        <v>1</v>
      </c>
      <c r="BP15" s="105" t="s">
        <v>90</v>
      </c>
      <c r="BQ15" s="107">
        <f t="shared" si="94"/>
        <v>0</v>
      </c>
      <c r="BR15" s="176">
        <v>4601.0999999999995</v>
      </c>
      <c r="BS15" s="177">
        <v>4850</v>
      </c>
      <c r="BT15" s="116">
        <f t="shared" si="95"/>
        <v>4</v>
      </c>
      <c r="BU15" s="178" t="s">
        <v>90</v>
      </c>
      <c r="BV15" s="178">
        <f t="shared" si="96"/>
        <v>0</v>
      </c>
      <c r="BW15" s="178" t="s">
        <v>90</v>
      </c>
      <c r="BX15" s="178">
        <f t="shared" si="97"/>
        <v>0</v>
      </c>
      <c r="BY15" s="178" t="s">
        <v>91</v>
      </c>
      <c r="BZ15" s="178">
        <f t="shared" si="98"/>
        <v>2</v>
      </c>
      <c r="CA15" s="178" t="s">
        <v>90</v>
      </c>
      <c r="CB15" s="178">
        <f t="shared" si="99"/>
        <v>0</v>
      </c>
      <c r="CC15" s="4" t="s">
        <v>91</v>
      </c>
      <c r="CD15" s="178">
        <f t="shared" si="100"/>
        <v>0.5</v>
      </c>
      <c r="CE15" s="4" t="s">
        <v>90</v>
      </c>
      <c r="CF15" s="178">
        <f t="shared" si="101"/>
        <v>0</v>
      </c>
      <c r="CG15" s="179">
        <v>277.13</v>
      </c>
      <c r="CH15" s="180">
        <v>892</v>
      </c>
      <c r="CI15" s="120">
        <f t="shared" si="102"/>
        <v>4</v>
      </c>
      <c r="CJ15" s="181">
        <v>156514</v>
      </c>
      <c r="CK15" s="181">
        <v>250800</v>
      </c>
      <c r="CL15" s="122">
        <f t="shared" si="103"/>
        <v>4</v>
      </c>
      <c r="CM15" s="123" t="s">
        <v>90</v>
      </c>
      <c r="CN15" s="123">
        <f t="shared" si="104"/>
        <v>0</v>
      </c>
      <c r="CO15" s="123" t="s">
        <v>90</v>
      </c>
      <c r="CP15" s="123">
        <f t="shared" si="105"/>
        <v>0</v>
      </c>
      <c r="CQ15" s="123" t="s">
        <v>90</v>
      </c>
      <c r="CR15" s="123">
        <f t="shared" si="106"/>
        <v>0</v>
      </c>
      <c r="CS15" s="123" t="s">
        <v>90</v>
      </c>
      <c r="CT15" s="124">
        <f t="shared" si="107"/>
        <v>0</v>
      </c>
      <c r="CU15" s="182">
        <v>2177.5030000000002</v>
      </c>
      <c r="CV15" s="181">
        <v>971.17999999999995</v>
      </c>
      <c r="CW15" s="125">
        <f t="shared" si="108"/>
        <v>-2</v>
      </c>
      <c r="CX15" s="183">
        <v>126.3</v>
      </c>
      <c r="CY15" s="127">
        <f t="shared" si="109"/>
        <v>6</v>
      </c>
      <c r="CZ15" s="184">
        <v>720874</v>
      </c>
      <c r="DA15" s="185">
        <v>1008326</v>
      </c>
      <c r="DB15" s="127">
        <f t="shared" si="110"/>
        <v>6</v>
      </c>
      <c r="DC15" s="127">
        <v>4</v>
      </c>
      <c r="DD15" s="105" t="s">
        <v>89</v>
      </c>
      <c r="DE15" s="129">
        <f t="shared" si="111"/>
        <v>4</v>
      </c>
      <c r="DF15" s="157">
        <v>85.5</v>
      </c>
      <c r="DG15" s="131">
        <f t="shared" si="112"/>
        <v>4</v>
      </c>
      <c r="DH15" s="178" t="s">
        <v>57</v>
      </c>
      <c r="DI15" s="132">
        <f t="shared" si="113"/>
        <v>0</v>
      </c>
      <c r="DJ15" s="139" t="s">
        <v>89</v>
      </c>
      <c r="DK15" s="134">
        <f t="shared" si="114"/>
        <v>4</v>
      </c>
      <c r="DL15" s="139" t="s">
        <v>89</v>
      </c>
      <c r="DM15" s="135">
        <f t="shared" si="115"/>
        <v>4</v>
      </c>
      <c r="DN15" s="131" t="s">
        <v>90</v>
      </c>
      <c r="DO15" s="170">
        <f t="shared" si="116"/>
        <v>0</v>
      </c>
      <c r="DP15" s="135" t="s">
        <v>90</v>
      </c>
      <c r="DQ15" s="129">
        <f t="shared" si="117"/>
        <v>0</v>
      </c>
      <c r="DR15" s="136">
        <f>(58.9+59.6+61.4)/3</f>
        <v>59.966666666666669</v>
      </c>
      <c r="DS15" s="106">
        <f t="shared" si="118"/>
        <v>4</v>
      </c>
      <c r="DT15" s="149">
        <v>100</v>
      </c>
      <c r="DU15" s="106">
        <f t="shared" si="119"/>
        <v>4</v>
      </c>
      <c r="DV15" s="138">
        <v>0</v>
      </c>
      <c r="DW15" s="139">
        <f t="shared" si="120"/>
        <v>-2</v>
      </c>
      <c r="DX15" s="150">
        <v>50</v>
      </c>
      <c r="DY15" s="106">
        <f t="shared" si="121"/>
        <v>4</v>
      </c>
      <c r="DZ15" s="142">
        <f t="shared" si="122"/>
        <v>108.5</v>
      </c>
      <c r="EA15" s="143">
        <f t="shared" si="123"/>
        <v>11</v>
      </c>
    </row>
    <row r="16" s="1" customFormat="1" ht="15">
      <c r="A16" s="104" t="s">
        <v>103</v>
      </c>
      <c r="B16" s="105" t="s">
        <v>89</v>
      </c>
      <c r="C16" s="105">
        <f t="shared" si="62"/>
        <v>4</v>
      </c>
      <c r="D16" s="105" t="s">
        <v>89</v>
      </c>
      <c r="E16" s="105">
        <f t="shared" si="63"/>
        <v>4</v>
      </c>
      <c r="F16" s="105" t="s">
        <v>90</v>
      </c>
      <c r="G16" s="105">
        <f t="shared" si="64"/>
        <v>0</v>
      </c>
      <c r="H16" s="105" t="s">
        <v>91</v>
      </c>
      <c r="I16" s="105">
        <f t="shared" si="65"/>
        <v>1</v>
      </c>
      <c r="J16" s="105" t="s">
        <v>91</v>
      </c>
      <c r="K16" s="105">
        <f t="shared" si="66"/>
        <v>0.5</v>
      </c>
      <c r="L16" s="105" t="s">
        <v>90</v>
      </c>
      <c r="M16" s="105">
        <f t="shared" si="67"/>
        <v>0</v>
      </c>
      <c r="N16" s="105" t="s">
        <v>89</v>
      </c>
      <c r="O16" s="105">
        <f t="shared" si="68"/>
        <v>4</v>
      </c>
      <c r="P16" s="105" t="s">
        <v>89</v>
      </c>
      <c r="Q16" s="105">
        <f t="shared" si="69"/>
        <v>0.5</v>
      </c>
      <c r="R16" s="106" t="s">
        <v>57</v>
      </c>
      <c r="S16" s="105">
        <f t="shared" si="70"/>
        <v>0</v>
      </c>
      <c r="T16" s="106" t="s">
        <v>89</v>
      </c>
      <c r="U16" s="105">
        <f t="shared" si="71"/>
        <v>0.5</v>
      </c>
      <c r="V16" s="105" t="s">
        <v>89</v>
      </c>
      <c r="W16" s="105">
        <f t="shared" si="72"/>
        <v>0.5</v>
      </c>
      <c r="X16" s="106" t="s">
        <v>89</v>
      </c>
      <c r="Y16" s="105">
        <f t="shared" si="73"/>
        <v>4</v>
      </c>
      <c r="Z16" s="105" t="s">
        <v>91</v>
      </c>
      <c r="AA16" s="105">
        <f t="shared" si="74"/>
        <v>0.5</v>
      </c>
      <c r="AB16" s="106" t="s">
        <v>89</v>
      </c>
      <c r="AC16" s="105">
        <f t="shared" si="75"/>
        <v>4</v>
      </c>
      <c r="AD16" s="105" t="s">
        <v>89</v>
      </c>
      <c r="AE16" s="105">
        <f t="shared" si="76"/>
        <v>4</v>
      </c>
      <c r="AF16" s="105">
        <v>1</v>
      </c>
      <c r="AG16" s="105">
        <f t="shared" si="77"/>
        <v>1</v>
      </c>
      <c r="AH16" s="105" t="s">
        <v>89</v>
      </c>
      <c r="AI16" s="105">
        <f t="shared" si="78"/>
        <v>4</v>
      </c>
      <c r="AJ16" s="105" t="s">
        <v>57</v>
      </c>
      <c r="AK16" s="107" t="s">
        <v>90</v>
      </c>
      <c r="AL16" s="108" t="s">
        <v>90</v>
      </c>
      <c r="AM16" s="109">
        <f t="shared" si="79"/>
        <v>4</v>
      </c>
      <c r="AN16" s="110">
        <v>81.700000000000003</v>
      </c>
      <c r="AO16" s="111">
        <f t="shared" si="80"/>
        <v>4</v>
      </c>
      <c r="AP16" s="112">
        <v>58.700000000000003</v>
      </c>
      <c r="AQ16" s="111">
        <f t="shared" si="81"/>
        <v>4</v>
      </c>
      <c r="AR16" s="110">
        <v>2</v>
      </c>
      <c r="AS16" s="111">
        <f t="shared" si="82"/>
        <v>4</v>
      </c>
      <c r="AT16" s="110">
        <v>2</v>
      </c>
      <c r="AU16" s="113">
        <f t="shared" si="83"/>
        <v>0</v>
      </c>
      <c r="AV16" s="186">
        <v>13.5</v>
      </c>
      <c r="AW16" s="105">
        <f t="shared" si="84"/>
        <v>0</v>
      </c>
      <c r="AX16" s="105" t="s">
        <v>89</v>
      </c>
      <c r="AY16" s="105">
        <f t="shared" si="85"/>
        <v>4</v>
      </c>
      <c r="AZ16" s="105" t="s">
        <v>89</v>
      </c>
      <c r="BA16" s="105">
        <f t="shared" si="86"/>
        <v>0.5</v>
      </c>
      <c r="BB16" s="105" t="s">
        <v>89</v>
      </c>
      <c r="BC16" s="105">
        <f t="shared" si="87"/>
        <v>0.5</v>
      </c>
      <c r="BD16" s="105" t="s">
        <v>89</v>
      </c>
      <c r="BE16" s="105">
        <f t="shared" si="88"/>
        <v>0.5</v>
      </c>
      <c r="BF16" s="105" t="s">
        <v>89</v>
      </c>
      <c r="BG16" s="105">
        <f t="shared" si="89"/>
        <v>0.5</v>
      </c>
      <c r="BH16" s="106" t="s">
        <v>57</v>
      </c>
      <c r="BI16" s="105">
        <f t="shared" si="90"/>
        <v>0</v>
      </c>
      <c r="BJ16" s="106" t="s">
        <v>89</v>
      </c>
      <c r="BK16" s="105">
        <f t="shared" si="91"/>
        <v>4</v>
      </c>
      <c r="BL16" s="105" t="s">
        <v>90</v>
      </c>
      <c r="BM16" s="105">
        <f t="shared" si="92"/>
        <v>0</v>
      </c>
      <c r="BN16" s="105" t="s">
        <v>91</v>
      </c>
      <c r="BO16" s="105">
        <f t="shared" si="93"/>
        <v>1</v>
      </c>
      <c r="BP16" s="105" t="s">
        <v>90</v>
      </c>
      <c r="BQ16" s="107">
        <f t="shared" si="94"/>
        <v>0</v>
      </c>
      <c r="BR16" s="114">
        <v>2040</v>
      </c>
      <c r="BS16" s="115">
        <v>2327.5</v>
      </c>
      <c r="BT16" s="116">
        <f t="shared" si="95"/>
        <v>4</v>
      </c>
      <c r="BU16" s="117" t="s">
        <v>90</v>
      </c>
      <c r="BV16" s="117">
        <f t="shared" si="96"/>
        <v>0</v>
      </c>
      <c r="BW16" s="117" t="s">
        <v>90</v>
      </c>
      <c r="BX16" s="117">
        <f t="shared" si="97"/>
        <v>0</v>
      </c>
      <c r="BY16" s="117" t="s">
        <v>91</v>
      </c>
      <c r="BZ16" s="117">
        <f t="shared" si="98"/>
        <v>2</v>
      </c>
      <c r="CA16" s="117" t="s">
        <v>90</v>
      </c>
      <c r="CB16" s="117">
        <f t="shared" si="99"/>
        <v>0</v>
      </c>
      <c r="CC16" s="117" t="s">
        <v>90</v>
      </c>
      <c r="CD16" s="117">
        <f t="shared" si="100"/>
        <v>0</v>
      </c>
      <c r="CE16" s="117" t="s">
        <v>90</v>
      </c>
      <c r="CF16" s="117">
        <f t="shared" si="101"/>
        <v>0</v>
      </c>
      <c r="CG16" s="118">
        <v>277.13</v>
      </c>
      <c r="CH16" s="119">
        <v>321.19</v>
      </c>
      <c r="CI16" s="106">
        <f t="shared" si="102"/>
        <v>4</v>
      </c>
      <c r="CJ16" s="121">
        <v>242729</v>
      </c>
      <c r="CK16" s="121">
        <v>261259.81</v>
      </c>
      <c r="CL16" s="122">
        <f t="shared" si="103"/>
        <v>4</v>
      </c>
      <c r="CM16" s="123" t="s">
        <v>90</v>
      </c>
      <c r="CN16" s="123">
        <f t="shared" si="104"/>
        <v>0</v>
      </c>
      <c r="CO16" s="123" t="s">
        <v>90</v>
      </c>
      <c r="CP16" s="123">
        <f t="shared" si="105"/>
        <v>0</v>
      </c>
      <c r="CQ16" s="123" t="s">
        <v>91</v>
      </c>
      <c r="CR16" s="123">
        <f t="shared" si="106"/>
        <v>0</v>
      </c>
      <c r="CS16" s="123" t="s">
        <v>90</v>
      </c>
      <c r="CT16" s="124">
        <f t="shared" si="107"/>
        <v>0</v>
      </c>
      <c r="CU16" s="146">
        <v>944.09900000000005</v>
      </c>
      <c r="CV16" s="121">
        <v>926.61000000000001</v>
      </c>
      <c r="CW16" s="125">
        <f t="shared" si="108"/>
        <v>-2</v>
      </c>
      <c r="CX16" s="147">
        <v>119.2</v>
      </c>
      <c r="CY16" s="127">
        <f t="shared" si="109"/>
        <v>6</v>
      </c>
      <c r="CZ16" s="148">
        <v>605603</v>
      </c>
      <c r="DA16" s="128">
        <v>766439</v>
      </c>
      <c r="DB16" s="127">
        <f t="shared" si="110"/>
        <v>6</v>
      </c>
      <c r="DC16" s="127">
        <v>4</v>
      </c>
      <c r="DD16" s="105" t="s">
        <v>89</v>
      </c>
      <c r="DE16" s="129">
        <f t="shared" si="111"/>
        <v>4</v>
      </c>
      <c r="DF16" s="157">
        <v>66.5</v>
      </c>
      <c r="DG16" s="131">
        <f t="shared" si="112"/>
        <v>4</v>
      </c>
      <c r="DH16" s="117" t="s">
        <v>57</v>
      </c>
      <c r="DI16" s="132">
        <f t="shared" si="113"/>
        <v>0</v>
      </c>
      <c r="DJ16" s="133" t="s">
        <v>89</v>
      </c>
      <c r="DK16" s="134">
        <f t="shared" si="114"/>
        <v>4</v>
      </c>
      <c r="DL16" s="133" t="s">
        <v>89</v>
      </c>
      <c r="DM16" s="135">
        <f t="shared" si="115"/>
        <v>4</v>
      </c>
      <c r="DN16" s="131" t="s">
        <v>90</v>
      </c>
      <c r="DO16" s="170">
        <f t="shared" si="116"/>
        <v>0</v>
      </c>
      <c r="DP16" s="135" t="s">
        <v>91</v>
      </c>
      <c r="DQ16" s="129">
        <f t="shared" si="117"/>
        <v>0</v>
      </c>
      <c r="DR16" s="136">
        <f>(51.6+50+50)/3</f>
        <v>50.533333333333331</v>
      </c>
      <c r="DS16" s="105">
        <f t="shared" si="118"/>
        <v>4</v>
      </c>
      <c r="DT16" s="137">
        <v>50</v>
      </c>
      <c r="DU16" s="105">
        <f t="shared" si="119"/>
        <v>4</v>
      </c>
      <c r="DV16" s="138">
        <v>0</v>
      </c>
      <c r="DW16" s="139">
        <f t="shared" si="120"/>
        <v>-2</v>
      </c>
      <c r="DX16" s="150">
        <v>0</v>
      </c>
      <c r="DY16" s="141">
        <f t="shared" si="121"/>
        <v>-2</v>
      </c>
      <c r="DZ16" s="142">
        <f t="shared" si="122"/>
        <v>107.5</v>
      </c>
      <c r="EA16" s="143">
        <f t="shared" si="123"/>
        <v>13</v>
      </c>
    </row>
    <row r="17" s="1" customFormat="1" ht="15">
      <c r="A17" s="104" t="s">
        <v>104</v>
      </c>
      <c r="B17" s="105" t="s">
        <v>89</v>
      </c>
      <c r="C17" s="105">
        <f t="shared" si="62"/>
        <v>4</v>
      </c>
      <c r="D17" s="105" t="s">
        <v>89</v>
      </c>
      <c r="E17" s="105">
        <f t="shared" si="63"/>
        <v>4</v>
      </c>
      <c r="F17" s="105" t="s">
        <v>90</v>
      </c>
      <c r="G17" s="105">
        <f t="shared" si="64"/>
        <v>0</v>
      </c>
      <c r="H17" s="105" t="s">
        <v>91</v>
      </c>
      <c r="I17" s="105">
        <f t="shared" si="65"/>
        <v>1</v>
      </c>
      <c r="J17" s="105" t="s">
        <v>91</v>
      </c>
      <c r="K17" s="105">
        <f t="shared" si="66"/>
        <v>0.5</v>
      </c>
      <c r="L17" s="105" t="s">
        <v>90</v>
      </c>
      <c r="M17" s="105">
        <f t="shared" si="67"/>
        <v>0</v>
      </c>
      <c r="N17" s="106" t="s">
        <v>89</v>
      </c>
      <c r="O17" s="105">
        <f t="shared" si="68"/>
        <v>4</v>
      </c>
      <c r="P17" s="106" t="s">
        <v>89</v>
      </c>
      <c r="Q17" s="105">
        <f t="shared" si="69"/>
        <v>0.5</v>
      </c>
      <c r="R17" s="105" t="s">
        <v>89</v>
      </c>
      <c r="S17" s="105">
        <f t="shared" si="70"/>
        <v>0.5</v>
      </c>
      <c r="T17" s="105" t="s">
        <v>89</v>
      </c>
      <c r="U17" s="105">
        <f t="shared" si="71"/>
        <v>0.5</v>
      </c>
      <c r="V17" s="106" t="s">
        <v>89</v>
      </c>
      <c r="W17" s="105">
        <f t="shared" si="72"/>
        <v>0.5</v>
      </c>
      <c r="X17" s="105" t="s">
        <v>89</v>
      </c>
      <c r="Y17" s="105">
        <f t="shared" si="73"/>
        <v>4</v>
      </c>
      <c r="Z17" s="105" t="s">
        <v>91</v>
      </c>
      <c r="AA17" s="105">
        <f t="shared" si="74"/>
        <v>0.5</v>
      </c>
      <c r="AB17" s="105" t="s">
        <v>57</v>
      </c>
      <c r="AC17" s="105">
        <f t="shared" si="75"/>
        <v>0</v>
      </c>
      <c r="AD17" s="105" t="s">
        <v>89</v>
      </c>
      <c r="AE17" s="105">
        <f t="shared" si="76"/>
        <v>4</v>
      </c>
      <c r="AF17" s="105">
        <v>3</v>
      </c>
      <c r="AG17" s="105">
        <f t="shared" si="77"/>
        <v>3</v>
      </c>
      <c r="AH17" s="106" t="s">
        <v>89</v>
      </c>
      <c r="AI17" s="105">
        <f t="shared" si="78"/>
        <v>4</v>
      </c>
      <c r="AJ17" s="105" t="s">
        <v>57</v>
      </c>
      <c r="AK17" s="107" t="s">
        <v>90</v>
      </c>
      <c r="AL17" s="108" t="s">
        <v>90</v>
      </c>
      <c r="AM17" s="109">
        <f t="shared" si="79"/>
        <v>4</v>
      </c>
      <c r="AN17" s="110">
        <v>91.700000000000003</v>
      </c>
      <c r="AO17" s="111">
        <f t="shared" si="80"/>
        <v>4</v>
      </c>
      <c r="AP17" s="112">
        <v>55.399999999999999</v>
      </c>
      <c r="AQ17" s="111">
        <f t="shared" si="81"/>
        <v>4</v>
      </c>
      <c r="AR17" s="110">
        <v>1.3</v>
      </c>
      <c r="AS17" s="111">
        <f t="shared" si="82"/>
        <v>0</v>
      </c>
      <c r="AT17" s="110">
        <v>1.8</v>
      </c>
      <c r="AU17" s="113">
        <f t="shared" si="83"/>
        <v>0</v>
      </c>
      <c r="AV17" s="145">
        <v>13</v>
      </c>
      <c r="AW17" s="105">
        <f t="shared" si="84"/>
        <v>0</v>
      </c>
      <c r="AX17" s="106" t="s">
        <v>89</v>
      </c>
      <c r="AY17" s="105">
        <f t="shared" si="85"/>
        <v>4</v>
      </c>
      <c r="AZ17" s="106" t="s">
        <v>89</v>
      </c>
      <c r="BA17" s="105">
        <f t="shared" si="86"/>
        <v>0.5</v>
      </c>
      <c r="BB17" s="106" t="s">
        <v>89</v>
      </c>
      <c r="BC17" s="105">
        <f t="shared" si="87"/>
        <v>0.5</v>
      </c>
      <c r="BD17" s="106" t="s">
        <v>89</v>
      </c>
      <c r="BE17" s="105">
        <f t="shared" si="88"/>
        <v>0.5</v>
      </c>
      <c r="BF17" s="106" t="s">
        <v>89</v>
      </c>
      <c r="BG17" s="105">
        <f t="shared" si="89"/>
        <v>0.5</v>
      </c>
      <c r="BH17" s="105" t="s">
        <v>89</v>
      </c>
      <c r="BI17" s="105">
        <f t="shared" si="90"/>
        <v>0.5</v>
      </c>
      <c r="BJ17" s="105" t="s">
        <v>89</v>
      </c>
      <c r="BK17" s="105">
        <f t="shared" si="91"/>
        <v>4</v>
      </c>
      <c r="BL17" s="105" t="s">
        <v>91</v>
      </c>
      <c r="BM17" s="105">
        <f t="shared" si="92"/>
        <v>0.5</v>
      </c>
      <c r="BN17" s="105" t="s">
        <v>90</v>
      </c>
      <c r="BO17" s="105">
        <f t="shared" si="93"/>
        <v>0</v>
      </c>
      <c r="BP17" s="105" t="s">
        <v>90</v>
      </c>
      <c r="BQ17" s="107">
        <f t="shared" si="94"/>
        <v>0</v>
      </c>
      <c r="BR17" s="114">
        <v>592</v>
      </c>
      <c r="BS17" s="115">
        <v>539</v>
      </c>
      <c r="BT17" s="116">
        <f t="shared" si="95"/>
        <v>-2</v>
      </c>
      <c r="BU17" s="117" t="s">
        <v>90</v>
      </c>
      <c r="BV17" s="117">
        <f t="shared" si="96"/>
        <v>0</v>
      </c>
      <c r="BW17" s="117" t="s">
        <v>90</v>
      </c>
      <c r="BX17" s="117">
        <f t="shared" si="97"/>
        <v>0</v>
      </c>
      <c r="BY17" s="117" t="s">
        <v>91</v>
      </c>
      <c r="BZ17" s="117">
        <f t="shared" si="98"/>
        <v>2</v>
      </c>
      <c r="CA17" s="117" t="s">
        <v>90</v>
      </c>
      <c r="CB17" s="117">
        <f t="shared" si="99"/>
        <v>0</v>
      </c>
      <c r="CC17" s="6" t="s">
        <v>90</v>
      </c>
      <c r="CD17" s="117">
        <f t="shared" si="100"/>
        <v>0</v>
      </c>
      <c r="CE17" s="6" t="s">
        <v>90</v>
      </c>
      <c r="CF17" s="117">
        <f t="shared" si="101"/>
        <v>0</v>
      </c>
      <c r="CG17" s="118">
        <v>277.13</v>
      </c>
      <c r="CH17" s="119">
        <v>231.21000000000001</v>
      </c>
      <c r="CI17" s="120">
        <f t="shared" si="102"/>
        <v>-2</v>
      </c>
      <c r="CJ17" s="121">
        <v>95491</v>
      </c>
      <c r="CK17" s="121">
        <v>98659.339999999997</v>
      </c>
      <c r="CL17" s="122">
        <f t="shared" si="103"/>
        <v>2</v>
      </c>
      <c r="CM17" s="123" t="s">
        <v>91</v>
      </c>
      <c r="CN17" s="123">
        <f t="shared" si="104"/>
        <v>6</v>
      </c>
      <c r="CO17" s="123" t="s">
        <v>90</v>
      </c>
      <c r="CP17" s="123">
        <f t="shared" si="105"/>
        <v>0</v>
      </c>
      <c r="CQ17" s="123" t="s">
        <v>90</v>
      </c>
      <c r="CR17" s="123">
        <f t="shared" si="106"/>
        <v>0</v>
      </c>
      <c r="CS17" s="123" t="s">
        <v>90</v>
      </c>
      <c r="CT17" s="124">
        <f t="shared" si="107"/>
        <v>0</v>
      </c>
      <c r="CU17" s="146">
        <v>155.739</v>
      </c>
      <c r="CV17" s="121">
        <v>598.00999999999999</v>
      </c>
      <c r="CW17" s="125">
        <f t="shared" si="108"/>
        <v>6</v>
      </c>
      <c r="CX17" s="147">
        <v>122.09999999999999</v>
      </c>
      <c r="CY17" s="127">
        <f t="shared" si="109"/>
        <v>6</v>
      </c>
      <c r="CZ17" s="148">
        <v>310812</v>
      </c>
      <c r="DA17" s="128">
        <v>374505</v>
      </c>
      <c r="DB17" s="127">
        <f t="shared" si="110"/>
        <v>6</v>
      </c>
      <c r="DC17" s="127">
        <v>4</v>
      </c>
      <c r="DD17" s="105" t="s">
        <v>89</v>
      </c>
      <c r="DE17" s="129">
        <f t="shared" si="111"/>
        <v>4</v>
      </c>
      <c r="DF17" s="157">
        <v>73.400000000000006</v>
      </c>
      <c r="DG17" s="131">
        <f t="shared" si="112"/>
        <v>4</v>
      </c>
      <c r="DH17" s="117" t="s">
        <v>57</v>
      </c>
      <c r="DI17" s="132">
        <f t="shared" si="113"/>
        <v>0</v>
      </c>
      <c r="DJ17" s="133" t="s">
        <v>89</v>
      </c>
      <c r="DK17" s="134">
        <f t="shared" si="114"/>
        <v>4</v>
      </c>
      <c r="DL17" s="133" t="s">
        <v>89</v>
      </c>
      <c r="DM17" s="135">
        <f t="shared" si="115"/>
        <v>4</v>
      </c>
      <c r="DN17" s="131" t="s">
        <v>90</v>
      </c>
      <c r="DO17" s="170">
        <f t="shared" si="116"/>
        <v>0</v>
      </c>
      <c r="DP17" s="135" t="s">
        <v>90</v>
      </c>
      <c r="DQ17" s="129">
        <f t="shared" si="117"/>
        <v>0</v>
      </c>
      <c r="DR17" s="136">
        <f>(43+41.3+36.3)/3</f>
        <v>40.199999999999996</v>
      </c>
      <c r="DS17" s="106">
        <f t="shared" si="118"/>
        <v>2</v>
      </c>
      <c r="DT17" s="149">
        <v>66.700000000000003</v>
      </c>
      <c r="DU17" s="106">
        <f t="shared" si="119"/>
        <v>4</v>
      </c>
      <c r="DV17" s="138">
        <v>33.299999999999997</v>
      </c>
      <c r="DW17" s="139">
        <f t="shared" si="120"/>
        <v>1</v>
      </c>
      <c r="DX17" s="150">
        <v>33.299999999999997</v>
      </c>
      <c r="DY17" s="106">
        <f t="shared" si="121"/>
        <v>2</v>
      </c>
      <c r="DZ17" s="142">
        <f t="shared" si="122"/>
        <v>107</v>
      </c>
      <c r="EA17" s="143">
        <f t="shared" si="123"/>
        <v>14</v>
      </c>
    </row>
    <row r="18" s="1" customFormat="1" ht="15">
      <c r="A18" s="104" t="s">
        <v>105</v>
      </c>
      <c r="B18" s="105" t="s">
        <v>89</v>
      </c>
      <c r="C18" s="105">
        <f t="shared" si="62"/>
        <v>4</v>
      </c>
      <c r="D18" s="105" t="s">
        <v>89</v>
      </c>
      <c r="E18" s="105">
        <f t="shared" si="63"/>
        <v>4</v>
      </c>
      <c r="F18" s="105" t="s">
        <v>91</v>
      </c>
      <c r="G18" s="105">
        <f t="shared" si="64"/>
        <v>0.5</v>
      </c>
      <c r="H18" s="105" t="s">
        <v>90</v>
      </c>
      <c r="I18" s="105">
        <f t="shared" si="65"/>
        <v>0</v>
      </c>
      <c r="J18" s="105" t="s">
        <v>91</v>
      </c>
      <c r="K18" s="105">
        <f t="shared" si="66"/>
        <v>0.5</v>
      </c>
      <c r="L18" s="105" t="s">
        <v>90</v>
      </c>
      <c r="M18" s="105">
        <f t="shared" si="67"/>
        <v>0</v>
      </c>
      <c r="N18" s="105" t="s">
        <v>89</v>
      </c>
      <c r="O18" s="105">
        <f t="shared" si="68"/>
        <v>4</v>
      </c>
      <c r="P18" s="105" t="s">
        <v>89</v>
      </c>
      <c r="Q18" s="105">
        <f t="shared" si="69"/>
        <v>0.5</v>
      </c>
      <c r="R18" s="106" t="s">
        <v>89</v>
      </c>
      <c r="S18" s="105">
        <f t="shared" si="70"/>
        <v>0.5</v>
      </c>
      <c r="T18" s="106" t="s">
        <v>89</v>
      </c>
      <c r="U18" s="105">
        <f t="shared" si="71"/>
        <v>0.5</v>
      </c>
      <c r="V18" s="105" t="s">
        <v>89</v>
      </c>
      <c r="W18" s="105">
        <f t="shared" si="72"/>
        <v>0.5</v>
      </c>
      <c r="X18" s="106" t="s">
        <v>89</v>
      </c>
      <c r="Y18" s="105">
        <f t="shared" si="73"/>
        <v>4</v>
      </c>
      <c r="Z18" s="105" t="s">
        <v>91</v>
      </c>
      <c r="AA18" s="105">
        <f t="shared" si="74"/>
        <v>0.5</v>
      </c>
      <c r="AB18" s="106" t="s">
        <v>89</v>
      </c>
      <c r="AC18" s="105">
        <f t="shared" si="75"/>
        <v>4</v>
      </c>
      <c r="AD18" s="105" t="s">
        <v>89</v>
      </c>
      <c r="AE18" s="105">
        <f t="shared" si="76"/>
        <v>4</v>
      </c>
      <c r="AF18" s="105">
        <v>6</v>
      </c>
      <c r="AG18" s="105">
        <f t="shared" si="77"/>
        <v>6</v>
      </c>
      <c r="AH18" s="105" t="s">
        <v>89</v>
      </c>
      <c r="AI18" s="105">
        <f t="shared" si="78"/>
        <v>4</v>
      </c>
      <c r="AJ18" s="107" t="s">
        <v>57</v>
      </c>
      <c r="AK18" s="105" t="s">
        <v>90</v>
      </c>
      <c r="AL18" s="108" t="s">
        <v>90</v>
      </c>
      <c r="AM18" s="109">
        <f t="shared" si="79"/>
        <v>4</v>
      </c>
      <c r="AN18" s="110">
        <v>94.799999999999997</v>
      </c>
      <c r="AO18" s="111">
        <f t="shared" si="80"/>
        <v>4</v>
      </c>
      <c r="AP18" s="112">
        <v>50.799999999999997</v>
      </c>
      <c r="AQ18" s="111">
        <f t="shared" si="81"/>
        <v>4</v>
      </c>
      <c r="AR18" s="110">
        <v>1.6000000000000001</v>
      </c>
      <c r="AS18" s="111">
        <f t="shared" si="82"/>
        <v>0</v>
      </c>
      <c r="AT18" s="110">
        <v>1.7</v>
      </c>
      <c r="AU18" s="113">
        <f t="shared" si="83"/>
        <v>0</v>
      </c>
      <c r="AV18" s="186">
        <v>16.100000000000001</v>
      </c>
      <c r="AW18" s="105">
        <f t="shared" si="84"/>
        <v>0</v>
      </c>
      <c r="AX18" s="105" t="s">
        <v>89</v>
      </c>
      <c r="AY18" s="105">
        <f t="shared" si="85"/>
        <v>4</v>
      </c>
      <c r="AZ18" s="105" t="s">
        <v>89</v>
      </c>
      <c r="BA18" s="105">
        <f t="shared" si="86"/>
        <v>0.5</v>
      </c>
      <c r="BB18" s="105" t="s">
        <v>89</v>
      </c>
      <c r="BC18" s="105">
        <f t="shared" si="87"/>
        <v>0.5</v>
      </c>
      <c r="BD18" s="105" t="s">
        <v>89</v>
      </c>
      <c r="BE18" s="105">
        <f t="shared" si="88"/>
        <v>0.5</v>
      </c>
      <c r="BF18" s="105" t="s">
        <v>89</v>
      </c>
      <c r="BG18" s="105">
        <f t="shared" si="89"/>
        <v>0.5</v>
      </c>
      <c r="BH18" s="106" t="s">
        <v>89</v>
      </c>
      <c r="BI18" s="105">
        <f t="shared" si="90"/>
        <v>0.5</v>
      </c>
      <c r="BJ18" s="106" t="s">
        <v>89</v>
      </c>
      <c r="BK18" s="105">
        <f t="shared" si="91"/>
        <v>4</v>
      </c>
      <c r="BL18" s="105" t="s">
        <v>91</v>
      </c>
      <c r="BM18" s="105">
        <f t="shared" si="92"/>
        <v>0.5</v>
      </c>
      <c r="BN18" s="105" t="s">
        <v>90</v>
      </c>
      <c r="BO18" s="105">
        <f t="shared" si="93"/>
        <v>0</v>
      </c>
      <c r="BP18" s="105" t="s">
        <v>90</v>
      </c>
      <c r="BQ18" s="107">
        <f t="shared" si="94"/>
        <v>0</v>
      </c>
      <c r="BR18" s="114">
        <v>603.77999999999997</v>
      </c>
      <c r="BS18" s="115">
        <v>993.65999999999997</v>
      </c>
      <c r="BT18" s="116">
        <f t="shared" si="95"/>
        <v>4</v>
      </c>
      <c r="BU18" s="117" t="s">
        <v>90</v>
      </c>
      <c r="BV18" s="117">
        <f t="shared" si="96"/>
        <v>0</v>
      </c>
      <c r="BW18" s="117" t="s">
        <v>91</v>
      </c>
      <c r="BX18" s="117">
        <f t="shared" si="97"/>
        <v>4</v>
      </c>
      <c r="BY18" s="117" t="s">
        <v>90</v>
      </c>
      <c r="BZ18" s="117">
        <f t="shared" si="98"/>
        <v>0</v>
      </c>
      <c r="CA18" s="117" t="s">
        <v>90</v>
      </c>
      <c r="CB18" s="117">
        <f t="shared" si="99"/>
        <v>0</v>
      </c>
      <c r="CC18" s="117" t="s">
        <v>91</v>
      </c>
      <c r="CD18" s="117">
        <f t="shared" si="100"/>
        <v>0.5</v>
      </c>
      <c r="CE18" s="117" t="s">
        <v>90</v>
      </c>
      <c r="CF18" s="117">
        <f t="shared" si="101"/>
        <v>0</v>
      </c>
      <c r="CG18" s="118">
        <v>277.13</v>
      </c>
      <c r="CH18" s="119">
        <v>222.71000000000001</v>
      </c>
      <c r="CI18" s="106">
        <f t="shared" si="102"/>
        <v>-2</v>
      </c>
      <c r="CJ18" s="121">
        <v>106171</v>
      </c>
      <c r="CK18" s="121">
        <v>61674.290000000001</v>
      </c>
      <c r="CL18" s="122">
        <f t="shared" si="103"/>
        <v>-2</v>
      </c>
      <c r="CM18" s="123" t="s">
        <v>90</v>
      </c>
      <c r="CN18" s="123">
        <f t="shared" si="104"/>
        <v>0</v>
      </c>
      <c r="CO18" s="123" t="s">
        <v>90</v>
      </c>
      <c r="CP18" s="123">
        <f t="shared" si="105"/>
        <v>0</v>
      </c>
      <c r="CQ18" s="123" t="s">
        <v>91</v>
      </c>
      <c r="CR18" s="123">
        <f t="shared" si="106"/>
        <v>0</v>
      </c>
      <c r="CS18" s="123" t="s">
        <v>90</v>
      </c>
      <c r="CT18" s="124">
        <f t="shared" si="107"/>
        <v>0</v>
      </c>
      <c r="CU18" s="146">
        <v>1250.0340000000001</v>
      </c>
      <c r="CV18" s="121">
        <v>822.09000000000003</v>
      </c>
      <c r="CW18" s="125">
        <f t="shared" si="108"/>
        <v>-2</v>
      </c>
      <c r="CX18" s="147">
        <v>120.59999999999999</v>
      </c>
      <c r="CY18" s="127">
        <f t="shared" si="109"/>
        <v>6</v>
      </c>
      <c r="CZ18" s="148">
        <v>661551</v>
      </c>
      <c r="DA18" s="128">
        <v>785771</v>
      </c>
      <c r="DB18" s="127">
        <f t="shared" si="110"/>
        <v>6</v>
      </c>
      <c r="DC18" s="127">
        <v>4</v>
      </c>
      <c r="DD18" s="105" t="s">
        <v>89</v>
      </c>
      <c r="DE18" s="129">
        <f t="shared" si="111"/>
        <v>4</v>
      </c>
      <c r="DF18" s="157">
        <v>91.799999999999997</v>
      </c>
      <c r="DG18" s="131">
        <f t="shared" si="112"/>
        <v>4</v>
      </c>
      <c r="DH18" s="117" t="s">
        <v>57</v>
      </c>
      <c r="DI18" s="132">
        <f t="shared" si="113"/>
        <v>0</v>
      </c>
      <c r="DJ18" s="133" t="s">
        <v>89</v>
      </c>
      <c r="DK18" s="134">
        <f t="shared" si="114"/>
        <v>4</v>
      </c>
      <c r="DL18" s="133" t="s">
        <v>89</v>
      </c>
      <c r="DM18" s="135">
        <f t="shared" si="115"/>
        <v>4</v>
      </c>
      <c r="DN18" s="131" t="s">
        <v>90</v>
      </c>
      <c r="DO18" s="170">
        <f t="shared" si="116"/>
        <v>0</v>
      </c>
      <c r="DP18" s="135" t="s">
        <v>90</v>
      </c>
      <c r="DQ18" s="129">
        <f t="shared" si="117"/>
        <v>0</v>
      </c>
      <c r="DR18" s="136">
        <f>(57.6+52.9+55.9)/3</f>
        <v>55.466666666666669</v>
      </c>
      <c r="DS18" s="105">
        <f t="shared" si="118"/>
        <v>4</v>
      </c>
      <c r="DT18" s="137">
        <v>50</v>
      </c>
      <c r="DU18" s="105">
        <f t="shared" si="119"/>
        <v>4</v>
      </c>
      <c r="DV18" s="138">
        <v>33</v>
      </c>
      <c r="DW18" s="139">
        <f t="shared" si="120"/>
        <v>1</v>
      </c>
      <c r="DX18" s="150">
        <v>25</v>
      </c>
      <c r="DY18" s="141">
        <f t="shared" si="121"/>
        <v>1</v>
      </c>
      <c r="DZ18" s="142">
        <f t="shared" si="122"/>
        <v>105</v>
      </c>
      <c r="EA18" s="143">
        <f t="shared" si="123"/>
        <v>15</v>
      </c>
    </row>
    <row r="19" s="1" customFormat="1" ht="15">
      <c r="A19" s="104" t="s">
        <v>106</v>
      </c>
      <c r="B19" s="105" t="s">
        <v>89</v>
      </c>
      <c r="C19" s="105">
        <f t="shared" si="62"/>
        <v>4</v>
      </c>
      <c r="D19" s="105" t="s">
        <v>89</v>
      </c>
      <c r="E19" s="105">
        <f t="shared" si="63"/>
        <v>4</v>
      </c>
      <c r="F19" s="105" t="s">
        <v>90</v>
      </c>
      <c r="G19" s="105">
        <f t="shared" si="64"/>
        <v>0</v>
      </c>
      <c r="H19" s="105" t="s">
        <v>91</v>
      </c>
      <c r="I19" s="105">
        <f t="shared" si="65"/>
        <v>1</v>
      </c>
      <c r="J19" s="105" t="s">
        <v>91</v>
      </c>
      <c r="K19" s="105">
        <f t="shared" si="66"/>
        <v>0.5</v>
      </c>
      <c r="L19" s="105" t="s">
        <v>90</v>
      </c>
      <c r="M19" s="105">
        <f t="shared" si="67"/>
        <v>0</v>
      </c>
      <c r="N19" s="106" t="s">
        <v>89</v>
      </c>
      <c r="O19" s="105">
        <f t="shared" si="68"/>
        <v>4</v>
      </c>
      <c r="P19" s="106" t="s">
        <v>89</v>
      </c>
      <c r="Q19" s="105">
        <f t="shared" si="69"/>
        <v>0.5</v>
      </c>
      <c r="R19" s="105" t="s">
        <v>89</v>
      </c>
      <c r="S19" s="105">
        <f t="shared" si="70"/>
        <v>0.5</v>
      </c>
      <c r="T19" s="105" t="s">
        <v>89</v>
      </c>
      <c r="U19" s="105">
        <f t="shared" si="71"/>
        <v>0.5</v>
      </c>
      <c r="V19" s="106" t="s">
        <v>89</v>
      </c>
      <c r="W19" s="105">
        <f t="shared" si="72"/>
        <v>0.5</v>
      </c>
      <c r="X19" s="105" t="s">
        <v>89</v>
      </c>
      <c r="Y19" s="105">
        <f t="shared" si="73"/>
        <v>4</v>
      </c>
      <c r="Z19" s="105" t="s">
        <v>91</v>
      </c>
      <c r="AA19" s="105">
        <f t="shared" si="74"/>
        <v>0.5</v>
      </c>
      <c r="AB19" s="105" t="s">
        <v>89</v>
      </c>
      <c r="AC19" s="105">
        <f t="shared" si="75"/>
        <v>4</v>
      </c>
      <c r="AD19" s="105" t="s">
        <v>89</v>
      </c>
      <c r="AE19" s="105">
        <f t="shared" si="76"/>
        <v>4</v>
      </c>
      <c r="AF19" s="105">
        <v>3</v>
      </c>
      <c r="AG19" s="105">
        <f t="shared" si="77"/>
        <v>3</v>
      </c>
      <c r="AH19" s="105" t="s">
        <v>89</v>
      </c>
      <c r="AI19" s="105">
        <f t="shared" si="78"/>
        <v>4</v>
      </c>
      <c r="AJ19" s="106" t="s">
        <v>57</v>
      </c>
      <c r="AK19" s="107" t="s">
        <v>90</v>
      </c>
      <c r="AL19" s="108" t="s">
        <v>90</v>
      </c>
      <c r="AM19" s="109">
        <f t="shared" si="79"/>
        <v>4</v>
      </c>
      <c r="AN19" s="110">
        <v>80.099999999999994</v>
      </c>
      <c r="AO19" s="111">
        <f t="shared" si="80"/>
        <v>4</v>
      </c>
      <c r="AP19" s="112">
        <v>60.899999999999999</v>
      </c>
      <c r="AQ19" s="111">
        <f t="shared" si="81"/>
        <v>4</v>
      </c>
      <c r="AR19" s="110">
        <v>1.5</v>
      </c>
      <c r="AS19" s="111">
        <f t="shared" si="82"/>
        <v>0</v>
      </c>
      <c r="AT19" s="110">
        <v>2</v>
      </c>
      <c r="AU19" s="113">
        <f t="shared" si="83"/>
        <v>0</v>
      </c>
      <c r="AV19" s="145">
        <v>6.5999999999999996</v>
      </c>
      <c r="AW19" s="105">
        <f t="shared" si="84"/>
        <v>2</v>
      </c>
      <c r="AX19" s="106" t="s">
        <v>89</v>
      </c>
      <c r="AY19" s="105">
        <f t="shared" si="85"/>
        <v>4</v>
      </c>
      <c r="AZ19" s="106" t="s">
        <v>89</v>
      </c>
      <c r="BA19" s="105">
        <f t="shared" si="86"/>
        <v>0.5</v>
      </c>
      <c r="BB19" s="106" t="s">
        <v>89</v>
      </c>
      <c r="BC19" s="105">
        <f t="shared" si="87"/>
        <v>0.5</v>
      </c>
      <c r="BD19" s="106" t="s">
        <v>89</v>
      </c>
      <c r="BE19" s="105">
        <f t="shared" si="88"/>
        <v>0.5</v>
      </c>
      <c r="BF19" s="106" t="s">
        <v>89</v>
      </c>
      <c r="BG19" s="105">
        <f t="shared" si="89"/>
        <v>0.5</v>
      </c>
      <c r="BH19" s="105" t="s">
        <v>89</v>
      </c>
      <c r="BI19" s="105">
        <f t="shared" si="90"/>
        <v>0.5</v>
      </c>
      <c r="BJ19" s="105" t="s">
        <v>89</v>
      </c>
      <c r="BK19" s="105">
        <f t="shared" si="91"/>
        <v>4</v>
      </c>
      <c r="BL19" s="105" t="s">
        <v>90</v>
      </c>
      <c r="BM19" s="105">
        <f t="shared" si="92"/>
        <v>0</v>
      </c>
      <c r="BN19" s="105" t="s">
        <v>91</v>
      </c>
      <c r="BO19" s="105">
        <f t="shared" si="93"/>
        <v>1</v>
      </c>
      <c r="BP19" s="105" t="s">
        <v>90</v>
      </c>
      <c r="BQ19" s="107">
        <f t="shared" si="94"/>
        <v>0</v>
      </c>
      <c r="BR19" s="114">
        <v>1755.0999999999999</v>
      </c>
      <c r="BS19" s="115">
        <v>1697</v>
      </c>
      <c r="BT19" s="116">
        <f t="shared" si="95"/>
        <v>-2</v>
      </c>
      <c r="BU19" s="117" t="s">
        <v>91</v>
      </c>
      <c r="BV19" s="117">
        <f t="shared" si="96"/>
        <v>6</v>
      </c>
      <c r="BW19" s="117" t="s">
        <v>90</v>
      </c>
      <c r="BX19" s="117">
        <f t="shared" si="97"/>
        <v>0</v>
      </c>
      <c r="BY19" s="117" t="s">
        <v>90</v>
      </c>
      <c r="BZ19" s="117">
        <f t="shared" si="98"/>
        <v>0</v>
      </c>
      <c r="CA19" s="117" t="s">
        <v>90</v>
      </c>
      <c r="CB19" s="117">
        <f t="shared" si="99"/>
        <v>0</v>
      </c>
      <c r="CC19" s="6" t="s">
        <v>90</v>
      </c>
      <c r="CD19" s="117">
        <f t="shared" si="100"/>
        <v>0</v>
      </c>
      <c r="CE19" s="6" t="s">
        <v>90</v>
      </c>
      <c r="CF19" s="117">
        <f t="shared" si="101"/>
        <v>0</v>
      </c>
      <c r="CG19" s="118">
        <v>277.13</v>
      </c>
      <c r="CH19" s="119">
        <v>187.13</v>
      </c>
      <c r="CI19" s="120">
        <f t="shared" si="102"/>
        <v>-2</v>
      </c>
      <c r="CJ19" s="121">
        <v>49994</v>
      </c>
      <c r="CK19" s="121">
        <v>57920.919999999998</v>
      </c>
      <c r="CL19" s="122">
        <f t="shared" si="103"/>
        <v>4</v>
      </c>
      <c r="CM19" s="123" t="s">
        <v>90</v>
      </c>
      <c r="CN19" s="123">
        <f t="shared" si="104"/>
        <v>0</v>
      </c>
      <c r="CO19" s="123" t="s">
        <v>90</v>
      </c>
      <c r="CP19" s="123">
        <f t="shared" si="105"/>
        <v>0</v>
      </c>
      <c r="CQ19" s="123" t="s">
        <v>91</v>
      </c>
      <c r="CR19" s="123">
        <f t="shared" si="106"/>
        <v>0</v>
      </c>
      <c r="CS19" s="123" t="s">
        <v>90</v>
      </c>
      <c r="CT19" s="124">
        <f t="shared" si="107"/>
        <v>0</v>
      </c>
      <c r="CU19" s="146">
        <v>1189.0260000000001</v>
      </c>
      <c r="CV19" s="121">
        <v>27.23</v>
      </c>
      <c r="CW19" s="125">
        <f t="shared" si="108"/>
        <v>-2</v>
      </c>
      <c r="CX19" s="147">
        <v>118.3</v>
      </c>
      <c r="CY19" s="127">
        <f t="shared" si="109"/>
        <v>6</v>
      </c>
      <c r="CZ19" s="148">
        <v>954021</v>
      </c>
      <c r="DA19" s="128">
        <v>1143547</v>
      </c>
      <c r="DB19" s="127">
        <f t="shared" si="110"/>
        <v>6</v>
      </c>
      <c r="DC19" s="127">
        <v>4</v>
      </c>
      <c r="DD19" s="105" t="s">
        <v>89</v>
      </c>
      <c r="DE19" s="129">
        <f t="shared" si="111"/>
        <v>4</v>
      </c>
      <c r="DF19" s="130">
        <v>67.799999999999997</v>
      </c>
      <c r="DG19" s="131">
        <f t="shared" si="112"/>
        <v>4</v>
      </c>
      <c r="DH19" s="117" t="s">
        <v>57</v>
      </c>
      <c r="DI19" s="132">
        <f t="shared" si="113"/>
        <v>0</v>
      </c>
      <c r="DJ19" s="133" t="s">
        <v>89</v>
      </c>
      <c r="DK19" s="134">
        <f t="shared" si="114"/>
        <v>4</v>
      </c>
      <c r="DL19" s="133" t="s">
        <v>89</v>
      </c>
      <c r="DM19" s="135">
        <f t="shared" si="115"/>
        <v>4</v>
      </c>
      <c r="DN19" s="131" t="s">
        <v>90</v>
      </c>
      <c r="DO19" s="170">
        <f t="shared" si="116"/>
        <v>0</v>
      </c>
      <c r="DP19" s="135" t="s">
        <v>90</v>
      </c>
      <c r="DQ19" s="129">
        <f t="shared" si="117"/>
        <v>0</v>
      </c>
      <c r="DR19" s="136">
        <f>(36.3+40.8+38.8)/3</f>
        <v>38.633333333333333</v>
      </c>
      <c r="DS19" s="106">
        <f t="shared" si="118"/>
        <v>2</v>
      </c>
      <c r="DT19" s="149">
        <v>50</v>
      </c>
      <c r="DU19" s="106">
        <f t="shared" si="119"/>
        <v>4</v>
      </c>
      <c r="DV19" s="138">
        <v>0</v>
      </c>
      <c r="DW19" s="139">
        <f t="shared" si="120"/>
        <v>-2</v>
      </c>
      <c r="DX19" s="150">
        <v>50</v>
      </c>
      <c r="DY19" s="106">
        <f t="shared" si="121"/>
        <v>4</v>
      </c>
      <c r="DZ19" s="142">
        <f t="shared" si="122"/>
        <v>104.5</v>
      </c>
      <c r="EA19" s="143">
        <f t="shared" si="123"/>
        <v>16</v>
      </c>
    </row>
    <row r="20" s="1" customFormat="1" ht="15">
      <c r="A20" s="104" t="s">
        <v>107</v>
      </c>
      <c r="B20" s="105" t="s">
        <v>89</v>
      </c>
      <c r="C20" s="105">
        <f t="shared" si="62"/>
        <v>4</v>
      </c>
      <c r="D20" s="105" t="s">
        <v>89</v>
      </c>
      <c r="E20" s="105">
        <f t="shared" si="63"/>
        <v>4</v>
      </c>
      <c r="F20" s="105" t="s">
        <v>90</v>
      </c>
      <c r="G20" s="105">
        <f t="shared" si="64"/>
        <v>0</v>
      </c>
      <c r="H20" s="105" t="s">
        <v>91</v>
      </c>
      <c r="I20" s="105">
        <f t="shared" si="65"/>
        <v>1</v>
      </c>
      <c r="J20" s="105" t="s">
        <v>91</v>
      </c>
      <c r="K20" s="105">
        <f t="shared" si="66"/>
        <v>0.5</v>
      </c>
      <c r="L20" s="105" t="s">
        <v>90</v>
      </c>
      <c r="M20" s="105">
        <f t="shared" si="67"/>
        <v>0</v>
      </c>
      <c r="N20" s="105" t="s">
        <v>89</v>
      </c>
      <c r="O20" s="105">
        <f t="shared" si="68"/>
        <v>4</v>
      </c>
      <c r="P20" s="105" t="s">
        <v>89</v>
      </c>
      <c r="Q20" s="105">
        <f t="shared" si="69"/>
        <v>0.5</v>
      </c>
      <c r="R20" s="105" t="s">
        <v>89</v>
      </c>
      <c r="S20" s="105">
        <f t="shared" si="70"/>
        <v>0.5</v>
      </c>
      <c r="T20" s="105" t="s">
        <v>89</v>
      </c>
      <c r="U20" s="105">
        <f t="shared" si="71"/>
        <v>0.5</v>
      </c>
      <c r="V20" s="105" t="s">
        <v>89</v>
      </c>
      <c r="W20" s="105">
        <f t="shared" si="72"/>
        <v>0.5</v>
      </c>
      <c r="X20" s="105" t="s">
        <v>89</v>
      </c>
      <c r="Y20" s="105">
        <f t="shared" si="73"/>
        <v>4</v>
      </c>
      <c r="Z20" s="105" t="s">
        <v>91</v>
      </c>
      <c r="AA20" s="105">
        <f t="shared" si="74"/>
        <v>0.5</v>
      </c>
      <c r="AB20" s="105" t="s">
        <v>89</v>
      </c>
      <c r="AC20" s="105">
        <f t="shared" si="75"/>
        <v>4</v>
      </c>
      <c r="AD20" s="105" t="s">
        <v>89</v>
      </c>
      <c r="AE20" s="105">
        <f t="shared" si="76"/>
        <v>4</v>
      </c>
      <c r="AF20" s="105">
        <v>3</v>
      </c>
      <c r="AG20" s="105">
        <f t="shared" si="77"/>
        <v>3</v>
      </c>
      <c r="AH20" s="105" t="s">
        <v>89</v>
      </c>
      <c r="AI20" s="107">
        <f t="shared" si="78"/>
        <v>4</v>
      </c>
      <c r="AJ20" s="107" t="s">
        <v>57</v>
      </c>
      <c r="AK20" s="105" t="s">
        <v>90</v>
      </c>
      <c r="AL20" s="108" t="s">
        <v>90</v>
      </c>
      <c r="AM20" s="109">
        <f t="shared" si="79"/>
        <v>4</v>
      </c>
      <c r="AN20" s="110">
        <v>98.5</v>
      </c>
      <c r="AO20" s="111">
        <f t="shared" si="80"/>
        <v>4</v>
      </c>
      <c r="AP20" s="112">
        <v>75.400000000000006</v>
      </c>
      <c r="AQ20" s="111">
        <f t="shared" si="81"/>
        <v>4</v>
      </c>
      <c r="AR20" s="110">
        <v>1.3999999999999999</v>
      </c>
      <c r="AS20" s="111">
        <f t="shared" si="82"/>
        <v>0</v>
      </c>
      <c r="AT20" s="110">
        <v>2.2999999999999998</v>
      </c>
      <c r="AU20" s="113">
        <f t="shared" si="83"/>
        <v>0</v>
      </c>
      <c r="AV20" s="186">
        <v>9.8000000000000007</v>
      </c>
      <c r="AW20" s="105">
        <f t="shared" si="84"/>
        <v>2</v>
      </c>
      <c r="AX20" s="105" t="s">
        <v>89</v>
      </c>
      <c r="AY20" s="105">
        <f t="shared" si="85"/>
        <v>4</v>
      </c>
      <c r="AZ20" s="105" t="s">
        <v>89</v>
      </c>
      <c r="BA20" s="105">
        <f t="shared" si="86"/>
        <v>0.5</v>
      </c>
      <c r="BB20" s="105" t="s">
        <v>89</v>
      </c>
      <c r="BC20" s="105">
        <f t="shared" si="87"/>
        <v>0.5</v>
      </c>
      <c r="BD20" s="105" t="s">
        <v>89</v>
      </c>
      <c r="BE20" s="105">
        <f t="shared" si="88"/>
        <v>0.5</v>
      </c>
      <c r="BF20" s="105" t="s">
        <v>89</v>
      </c>
      <c r="BG20" s="105">
        <f t="shared" si="89"/>
        <v>0.5</v>
      </c>
      <c r="BH20" s="105" t="s">
        <v>89</v>
      </c>
      <c r="BI20" s="105">
        <f t="shared" si="90"/>
        <v>0.5</v>
      </c>
      <c r="BJ20" s="105" t="s">
        <v>89</v>
      </c>
      <c r="BK20" s="105">
        <f t="shared" si="91"/>
        <v>4</v>
      </c>
      <c r="BL20" s="105" t="s">
        <v>91</v>
      </c>
      <c r="BM20" s="105">
        <f t="shared" si="92"/>
        <v>0.5</v>
      </c>
      <c r="BN20" s="105" t="s">
        <v>90</v>
      </c>
      <c r="BO20" s="105">
        <f t="shared" si="93"/>
        <v>0</v>
      </c>
      <c r="BP20" s="105" t="s">
        <v>90</v>
      </c>
      <c r="BQ20" s="107">
        <f t="shared" si="94"/>
        <v>0</v>
      </c>
      <c r="BR20" s="114">
        <v>4044.96</v>
      </c>
      <c r="BS20" s="115">
        <v>3681.1799999999998</v>
      </c>
      <c r="BT20" s="116">
        <f t="shared" si="95"/>
        <v>-2</v>
      </c>
      <c r="BU20" s="117" t="s">
        <v>91</v>
      </c>
      <c r="BV20" s="117">
        <f t="shared" si="96"/>
        <v>6</v>
      </c>
      <c r="BW20" s="117" t="s">
        <v>90</v>
      </c>
      <c r="BX20" s="117">
        <f t="shared" si="97"/>
        <v>0</v>
      </c>
      <c r="BY20" s="117" t="s">
        <v>90</v>
      </c>
      <c r="BZ20" s="117">
        <f t="shared" si="98"/>
        <v>0</v>
      </c>
      <c r="CA20" s="117" t="s">
        <v>90</v>
      </c>
      <c r="CB20" s="117">
        <f t="shared" si="99"/>
        <v>0</v>
      </c>
      <c r="CC20" s="117" t="s">
        <v>90</v>
      </c>
      <c r="CD20" s="117">
        <f t="shared" si="100"/>
        <v>0</v>
      </c>
      <c r="CE20" s="117" t="s">
        <v>90</v>
      </c>
      <c r="CF20" s="117">
        <f t="shared" si="101"/>
        <v>0</v>
      </c>
      <c r="CG20" s="118">
        <v>277.13</v>
      </c>
      <c r="CH20" s="119">
        <v>296.41000000000003</v>
      </c>
      <c r="CI20" s="106">
        <f t="shared" si="102"/>
        <v>4</v>
      </c>
      <c r="CJ20" s="121">
        <v>130533</v>
      </c>
      <c r="CK20" s="121">
        <v>135297.22</v>
      </c>
      <c r="CL20" s="122">
        <f t="shared" si="103"/>
        <v>2</v>
      </c>
      <c r="CM20" s="123" t="s">
        <v>90</v>
      </c>
      <c r="CN20" s="123">
        <f t="shared" si="104"/>
        <v>0</v>
      </c>
      <c r="CO20" s="123" t="s">
        <v>91</v>
      </c>
      <c r="CP20" s="123">
        <f t="shared" si="105"/>
        <v>4</v>
      </c>
      <c r="CQ20" s="123" t="s">
        <v>90</v>
      </c>
      <c r="CR20" s="123">
        <f t="shared" si="106"/>
        <v>0</v>
      </c>
      <c r="CS20" s="123" t="s">
        <v>90</v>
      </c>
      <c r="CT20" s="124">
        <f t="shared" si="107"/>
        <v>0</v>
      </c>
      <c r="CU20" s="121">
        <v>1590.8689999999999</v>
      </c>
      <c r="CV20" s="121">
        <v>1130.1099999999999</v>
      </c>
      <c r="CW20" s="125">
        <f t="shared" si="108"/>
        <v>-2</v>
      </c>
      <c r="CX20" s="147">
        <v>115.5</v>
      </c>
      <c r="CY20" s="127">
        <f t="shared" si="109"/>
        <v>6</v>
      </c>
      <c r="CZ20" s="148">
        <v>790125</v>
      </c>
      <c r="DA20" s="128">
        <v>1013017</v>
      </c>
      <c r="DB20" s="127">
        <f t="shared" si="110"/>
        <v>6</v>
      </c>
      <c r="DC20" s="127">
        <v>0</v>
      </c>
      <c r="DD20" s="105" t="s">
        <v>89</v>
      </c>
      <c r="DE20" s="129">
        <f t="shared" si="111"/>
        <v>4</v>
      </c>
      <c r="DF20" s="157">
        <v>78.700000000000003</v>
      </c>
      <c r="DG20" s="131">
        <f t="shared" si="112"/>
        <v>4</v>
      </c>
      <c r="DH20" s="117" t="s">
        <v>57</v>
      </c>
      <c r="DI20" s="132">
        <f t="shared" si="113"/>
        <v>0</v>
      </c>
      <c r="DJ20" s="133" t="s">
        <v>89</v>
      </c>
      <c r="DK20" s="134">
        <f t="shared" si="114"/>
        <v>4</v>
      </c>
      <c r="DL20" s="133" t="s">
        <v>89</v>
      </c>
      <c r="DM20" s="135">
        <f t="shared" si="115"/>
        <v>4</v>
      </c>
      <c r="DN20" s="131" t="s">
        <v>90</v>
      </c>
      <c r="DO20" s="170">
        <f t="shared" si="116"/>
        <v>0</v>
      </c>
      <c r="DP20" s="135" t="s">
        <v>91</v>
      </c>
      <c r="DQ20" s="129">
        <f t="shared" si="117"/>
        <v>0</v>
      </c>
      <c r="DR20" s="136">
        <f>(27.8+32.4+29.7)/3</f>
        <v>29.966666666666669</v>
      </c>
      <c r="DS20" s="105">
        <f t="shared" si="118"/>
        <v>0</v>
      </c>
      <c r="DT20" s="137">
        <v>100</v>
      </c>
      <c r="DU20" s="105">
        <f t="shared" si="119"/>
        <v>4</v>
      </c>
      <c r="DV20" s="138">
        <v>0</v>
      </c>
      <c r="DW20" s="139">
        <f t="shared" si="120"/>
        <v>-2</v>
      </c>
      <c r="DX20" s="150">
        <v>25</v>
      </c>
      <c r="DY20" s="141">
        <f t="shared" si="121"/>
        <v>1</v>
      </c>
      <c r="DZ20" s="142">
        <f t="shared" si="122"/>
        <v>103</v>
      </c>
      <c r="EA20" s="143">
        <f t="shared" si="123"/>
        <v>17</v>
      </c>
    </row>
    <row r="21" s="1" customFormat="1" ht="15">
      <c r="A21" s="104" t="s">
        <v>108</v>
      </c>
      <c r="B21" s="105" t="s">
        <v>89</v>
      </c>
      <c r="C21" s="105">
        <f t="shared" si="62"/>
        <v>4</v>
      </c>
      <c r="D21" s="105" t="s">
        <v>89</v>
      </c>
      <c r="E21" s="105">
        <f t="shared" si="63"/>
        <v>4</v>
      </c>
      <c r="F21" s="105" t="s">
        <v>90</v>
      </c>
      <c r="G21" s="105">
        <f t="shared" si="64"/>
        <v>0</v>
      </c>
      <c r="H21" s="105" t="s">
        <v>91</v>
      </c>
      <c r="I21" s="105">
        <f t="shared" si="65"/>
        <v>1</v>
      </c>
      <c r="J21" s="105" t="s">
        <v>90</v>
      </c>
      <c r="K21" s="105">
        <f t="shared" si="66"/>
        <v>0</v>
      </c>
      <c r="L21" s="105" t="s">
        <v>91</v>
      </c>
      <c r="M21" s="105">
        <f t="shared" si="67"/>
        <v>1</v>
      </c>
      <c r="N21" s="106" t="s">
        <v>89</v>
      </c>
      <c r="O21" s="105">
        <f t="shared" si="68"/>
        <v>4</v>
      </c>
      <c r="P21" s="106" t="s">
        <v>89</v>
      </c>
      <c r="Q21" s="105">
        <f t="shared" si="69"/>
        <v>0.5</v>
      </c>
      <c r="R21" s="105" t="s">
        <v>89</v>
      </c>
      <c r="S21" s="105">
        <f t="shared" si="70"/>
        <v>0.5</v>
      </c>
      <c r="T21" s="105" t="s">
        <v>89</v>
      </c>
      <c r="U21" s="105">
        <f t="shared" si="71"/>
        <v>0.5</v>
      </c>
      <c r="V21" s="105" t="s">
        <v>89</v>
      </c>
      <c r="W21" s="105">
        <f t="shared" si="72"/>
        <v>0.5</v>
      </c>
      <c r="X21" s="105" t="s">
        <v>89</v>
      </c>
      <c r="Y21" s="105">
        <f t="shared" si="73"/>
        <v>4</v>
      </c>
      <c r="Z21" s="105" t="s">
        <v>91</v>
      </c>
      <c r="AA21" s="105">
        <f t="shared" si="74"/>
        <v>0.5</v>
      </c>
      <c r="AB21" s="105" t="s">
        <v>89</v>
      </c>
      <c r="AC21" s="105">
        <f t="shared" si="75"/>
        <v>4</v>
      </c>
      <c r="AD21" s="105" t="s">
        <v>89</v>
      </c>
      <c r="AE21" s="105">
        <f t="shared" si="76"/>
        <v>4</v>
      </c>
      <c r="AF21" s="105">
        <v>1</v>
      </c>
      <c r="AG21" s="105">
        <f t="shared" si="77"/>
        <v>1</v>
      </c>
      <c r="AH21" s="105" t="s">
        <v>89</v>
      </c>
      <c r="AI21" s="107">
        <f t="shared" si="78"/>
        <v>4</v>
      </c>
      <c r="AJ21" s="105" t="s">
        <v>90</v>
      </c>
      <c r="AK21" s="107" t="s">
        <v>89</v>
      </c>
      <c r="AL21" s="108" t="s">
        <v>90</v>
      </c>
      <c r="AM21" s="109">
        <f t="shared" si="79"/>
        <v>0</v>
      </c>
      <c r="AN21" s="110">
        <v>93.900000000000006</v>
      </c>
      <c r="AO21" s="111">
        <f t="shared" si="80"/>
        <v>4</v>
      </c>
      <c r="AP21" s="112">
        <v>79.099999999999994</v>
      </c>
      <c r="AQ21" s="111">
        <f t="shared" si="81"/>
        <v>4</v>
      </c>
      <c r="AR21" s="110">
        <v>0.80000000000000004</v>
      </c>
      <c r="AS21" s="111">
        <f t="shared" si="82"/>
        <v>-2</v>
      </c>
      <c r="AT21" s="110">
        <v>1.6000000000000001</v>
      </c>
      <c r="AU21" s="113">
        <f t="shared" si="83"/>
        <v>0</v>
      </c>
      <c r="AV21" s="145">
        <v>4.9000000000000004</v>
      </c>
      <c r="AW21" s="105">
        <f t="shared" si="84"/>
        <v>2</v>
      </c>
      <c r="AX21" s="106" t="s">
        <v>89</v>
      </c>
      <c r="AY21" s="105">
        <f t="shared" si="85"/>
        <v>4</v>
      </c>
      <c r="AZ21" s="106" t="s">
        <v>89</v>
      </c>
      <c r="BA21" s="105">
        <f t="shared" si="86"/>
        <v>0.5</v>
      </c>
      <c r="BB21" s="106" t="s">
        <v>89</v>
      </c>
      <c r="BC21" s="105">
        <f t="shared" si="87"/>
        <v>0.5</v>
      </c>
      <c r="BD21" s="106" t="s">
        <v>89</v>
      </c>
      <c r="BE21" s="105">
        <f t="shared" si="88"/>
        <v>0.5</v>
      </c>
      <c r="BF21" s="106" t="s">
        <v>89</v>
      </c>
      <c r="BG21" s="105">
        <f t="shared" si="89"/>
        <v>0.5</v>
      </c>
      <c r="BH21" s="106" t="s">
        <v>89</v>
      </c>
      <c r="BI21" s="105">
        <f t="shared" si="90"/>
        <v>0.5</v>
      </c>
      <c r="BJ21" s="106" t="s">
        <v>89</v>
      </c>
      <c r="BK21" s="105">
        <f t="shared" si="91"/>
        <v>4</v>
      </c>
      <c r="BL21" s="105" t="s">
        <v>90</v>
      </c>
      <c r="BM21" s="105">
        <f t="shared" si="92"/>
        <v>0</v>
      </c>
      <c r="BN21" s="105" t="s">
        <v>90</v>
      </c>
      <c r="BO21" s="105">
        <f t="shared" si="93"/>
        <v>0</v>
      </c>
      <c r="BP21" s="105" t="s">
        <v>91</v>
      </c>
      <c r="BQ21" s="107">
        <f t="shared" si="94"/>
        <v>1.5</v>
      </c>
      <c r="BR21" s="114">
        <v>1543.22</v>
      </c>
      <c r="BS21" s="115">
        <v>1212.74</v>
      </c>
      <c r="BT21" s="116">
        <f t="shared" si="95"/>
        <v>-2</v>
      </c>
      <c r="BU21" s="117" t="s">
        <v>90</v>
      </c>
      <c r="BV21" s="117">
        <f t="shared" si="96"/>
        <v>0</v>
      </c>
      <c r="BW21" s="117" t="s">
        <v>90</v>
      </c>
      <c r="BX21" s="117">
        <f t="shared" si="97"/>
        <v>0</v>
      </c>
      <c r="BY21" s="117" t="s">
        <v>91</v>
      </c>
      <c r="BZ21" s="117">
        <f t="shared" si="98"/>
        <v>2</v>
      </c>
      <c r="CA21" s="117" t="s">
        <v>90</v>
      </c>
      <c r="CB21" s="117">
        <f t="shared" si="99"/>
        <v>0</v>
      </c>
      <c r="CC21" s="6" t="s">
        <v>90</v>
      </c>
      <c r="CD21" s="117">
        <f t="shared" si="100"/>
        <v>0</v>
      </c>
      <c r="CE21" s="6" t="s">
        <v>90</v>
      </c>
      <c r="CF21" s="117">
        <f t="shared" si="101"/>
        <v>0</v>
      </c>
      <c r="CG21" s="118">
        <v>277.13</v>
      </c>
      <c r="CH21" s="119">
        <v>187.86000000000001</v>
      </c>
      <c r="CI21" s="120">
        <f t="shared" si="102"/>
        <v>-2</v>
      </c>
      <c r="CJ21" s="121">
        <v>205816</v>
      </c>
      <c r="CK21" s="121">
        <v>236621.98999999999</v>
      </c>
      <c r="CL21" s="122">
        <f t="shared" si="103"/>
        <v>4</v>
      </c>
      <c r="CM21" s="123" t="s">
        <v>90</v>
      </c>
      <c r="CN21" s="123">
        <f t="shared" si="104"/>
        <v>0</v>
      </c>
      <c r="CO21" s="123" t="s">
        <v>90</v>
      </c>
      <c r="CP21" s="123">
        <f t="shared" si="105"/>
        <v>0</v>
      </c>
      <c r="CQ21" s="123" t="s">
        <v>91</v>
      </c>
      <c r="CR21" s="123">
        <f t="shared" si="106"/>
        <v>0</v>
      </c>
      <c r="CS21" s="123" t="s">
        <v>90</v>
      </c>
      <c r="CT21" s="124">
        <f t="shared" si="107"/>
        <v>0</v>
      </c>
      <c r="CU21" s="146">
        <v>7397.0609999999997</v>
      </c>
      <c r="CV21" s="121">
        <v>417.18000000000001</v>
      </c>
      <c r="CW21" s="125">
        <f t="shared" si="108"/>
        <v>-2</v>
      </c>
      <c r="CX21" s="147">
        <v>116.90000000000001</v>
      </c>
      <c r="CY21" s="127">
        <f t="shared" si="109"/>
        <v>6</v>
      </c>
      <c r="CZ21" s="148">
        <v>307876</v>
      </c>
      <c r="DA21" s="128">
        <v>364895</v>
      </c>
      <c r="DB21" s="127">
        <f t="shared" si="110"/>
        <v>6</v>
      </c>
      <c r="DC21" s="127">
        <v>4</v>
      </c>
      <c r="DD21" s="105" t="s">
        <v>89</v>
      </c>
      <c r="DE21" s="129">
        <f t="shared" si="111"/>
        <v>4</v>
      </c>
      <c r="DF21" s="157">
        <v>85.900000000000006</v>
      </c>
      <c r="DG21" s="131">
        <f t="shared" si="112"/>
        <v>4</v>
      </c>
      <c r="DH21" s="117" t="s">
        <v>89</v>
      </c>
      <c r="DI21" s="132">
        <f t="shared" si="113"/>
        <v>1</v>
      </c>
      <c r="DJ21" s="133" t="s">
        <v>89</v>
      </c>
      <c r="DK21" s="134">
        <f t="shared" si="114"/>
        <v>4</v>
      </c>
      <c r="DL21" s="133" t="s">
        <v>89</v>
      </c>
      <c r="DM21" s="135">
        <f t="shared" si="115"/>
        <v>4</v>
      </c>
      <c r="DN21" s="131" t="s">
        <v>90</v>
      </c>
      <c r="DO21" s="170">
        <f t="shared" si="116"/>
        <v>0</v>
      </c>
      <c r="DP21" s="135" t="s">
        <v>90</v>
      </c>
      <c r="DQ21" s="129">
        <f t="shared" si="117"/>
        <v>0</v>
      </c>
      <c r="DR21" s="136">
        <f>(58.5+57.4+53.7)/3</f>
        <v>56.533333333333339</v>
      </c>
      <c r="DS21" s="106">
        <f t="shared" si="118"/>
        <v>4</v>
      </c>
      <c r="DT21" s="149">
        <v>83.299999999999997</v>
      </c>
      <c r="DU21" s="106">
        <f t="shared" si="119"/>
        <v>4</v>
      </c>
      <c r="DV21" s="138">
        <v>33.299999999999997</v>
      </c>
      <c r="DW21" s="139">
        <f t="shared" si="120"/>
        <v>1</v>
      </c>
      <c r="DX21" s="150">
        <v>50</v>
      </c>
      <c r="DY21" s="106">
        <f t="shared" si="121"/>
        <v>4</v>
      </c>
      <c r="DZ21" s="142">
        <f t="shared" si="122"/>
        <v>99.5</v>
      </c>
      <c r="EA21" s="143">
        <f t="shared" si="123"/>
        <v>18</v>
      </c>
    </row>
    <row r="22" s="1" customFormat="1" ht="15">
      <c r="A22" s="104" t="s">
        <v>109</v>
      </c>
      <c r="B22" s="105" t="s">
        <v>89</v>
      </c>
      <c r="C22" s="105">
        <f t="shared" si="62"/>
        <v>4</v>
      </c>
      <c r="D22" s="105" t="s">
        <v>89</v>
      </c>
      <c r="E22" s="105">
        <f t="shared" si="63"/>
        <v>4</v>
      </c>
      <c r="F22" s="105" t="s">
        <v>90</v>
      </c>
      <c r="G22" s="105">
        <f t="shared" si="64"/>
        <v>0</v>
      </c>
      <c r="H22" s="105" t="s">
        <v>91</v>
      </c>
      <c r="I22" s="105">
        <f t="shared" si="65"/>
        <v>1</v>
      </c>
      <c r="J22" s="105" t="s">
        <v>91</v>
      </c>
      <c r="K22" s="105">
        <f t="shared" si="66"/>
        <v>0.5</v>
      </c>
      <c r="L22" s="105" t="s">
        <v>90</v>
      </c>
      <c r="M22" s="105">
        <f t="shared" si="67"/>
        <v>0</v>
      </c>
      <c r="N22" s="105" t="s">
        <v>89</v>
      </c>
      <c r="O22" s="105">
        <f t="shared" si="68"/>
        <v>4</v>
      </c>
      <c r="P22" s="105" t="s">
        <v>89</v>
      </c>
      <c r="Q22" s="105">
        <f t="shared" si="69"/>
        <v>0.5</v>
      </c>
      <c r="R22" s="106" t="s">
        <v>89</v>
      </c>
      <c r="S22" s="105">
        <f t="shared" si="70"/>
        <v>0.5</v>
      </c>
      <c r="T22" s="106" t="s">
        <v>89</v>
      </c>
      <c r="U22" s="105">
        <f t="shared" si="71"/>
        <v>0.5</v>
      </c>
      <c r="V22" s="106" t="s">
        <v>89</v>
      </c>
      <c r="W22" s="105">
        <f t="shared" si="72"/>
        <v>0.5</v>
      </c>
      <c r="X22" s="106" t="s">
        <v>89</v>
      </c>
      <c r="Y22" s="105">
        <f t="shared" si="73"/>
        <v>4</v>
      </c>
      <c r="Z22" s="105" t="s">
        <v>91</v>
      </c>
      <c r="AA22" s="105">
        <f t="shared" si="74"/>
        <v>0.5</v>
      </c>
      <c r="AB22" s="106" t="s">
        <v>89</v>
      </c>
      <c r="AC22" s="105">
        <f t="shared" si="75"/>
        <v>4</v>
      </c>
      <c r="AD22" s="105" t="s">
        <v>89</v>
      </c>
      <c r="AE22" s="105">
        <f t="shared" si="76"/>
        <v>4</v>
      </c>
      <c r="AF22" s="105">
        <v>1</v>
      </c>
      <c r="AG22" s="105">
        <f t="shared" si="77"/>
        <v>1</v>
      </c>
      <c r="AH22" s="106" t="s">
        <v>57</v>
      </c>
      <c r="AI22" s="107">
        <f t="shared" si="78"/>
        <v>0</v>
      </c>
      <c r="AJ22" s="107" t="s">
        <v>57</v>
      </c>
      <c r="AK22" s="105" t="s">
        <v>90</v>
      </c>
      <c r="AL22" s="108" t="s">
        <v>90</v>
      </c>
      <c r="AM22" s="109">
        <f t="shared" si="79"/>
        <v>4</v>
      </c>
      <c r="AN22" s="110">
        <v>60.200000000000003</v>
      </c>
      <c r="AO22" s="111">
        <f t="shared" si="80"/>
        <v>4</v>
      </c>
      <c r="AP22" s="112">
        <v>67.700000000000003</v>
      </c>
      <c r="AQ22" s="111">
        <f t="shared" si="81"/>
        <v>4</v>
      </c>
      <c r="AR22" s="110">
        <v>2</v>
      </c>
      <c r="AS22" s="111">
        <f t="shared" si="82"/>
        <v>4</v>
      </c>
      <c r="AT22" s="110">
        <v>1.5</v>
      </c>
      <c r="AU22" s="113">
        <f t="shared" si="83"/>
        <v>0</v>
      </c>
      <c r="AV22" s="186">
        <v>13.1</v>
      </c>
      <c r="AW22" s="105">
        <f t="shared" si="84"/>
        <v>0</v>
      </c>
      <c r="AX22" s="105" t="s">
        <v>89</v>
      </c>
      <c r="AY22" s="105">
        <f t="shared" si="85"/>
        <v>4</v>
      </c>
      <c r="AZ22" s="105" t="s">
        <v>89</v>
      </c>
      <c r="BA22" s="105">
        <f t="shared" si="86"/>
        <v>0.5</v>
      </c>
      <c r="BB22" s="105" t="s">
        <v>89</v>
      </c>
      <c r="BC22" s="105">
        <f t="shared" si="87"/>
        <v>0.5</v>
      </c>
      <c r="BD22" s="105" t="s">
        <v>89</v>
      </c>
      <c r="BE22" s="105">
        <f t="shared" si="88"/>
        <v>0.5</v>
      </c>
      <c r="BF22" s="105" t="s">
        <v>89</v>
      </c>
      <c r="BG22" s="105">
        <f t="shared" si="89"/>
        <v>0.5</v>
      </c>
      <c r="BH22" s="105" t="s">
        <v>89</v>
      </c>
      <c r="BI22" s="105">
        <f t="shared" si="90"/>
        <v>0.5</v>
      </c>
      <c r="BJ22" s="105" t="s">
        <v>89</v>
      </c>
      <c r="BK22" s="105">
        <f t="shared" si="91"/>
        <v>4</v>
      </c>
      <c r="BL22" s="105" t="s">
        <v>90</v>
      </c>
      <c r="BM22" s="105">
        <f t="shared" si="92"/>
        <v>0</v>
      </c>
      <c r="BN22" s="105" t="s">
        <v>91</v>
      </c>
      <c r="BO22" s="105">
        <f t="shared" si="93"/>
        <v>1</v>
      </c>
      <c r="BP22" s="105" t="s">
        <v>90</v>
      </c>
      <c r="BQ22" s="107">
        <f t="shared" si="94"/>
        <v>0</v>
      </c>
      <c r="BR22" s="114">
        <v>2400</v>
      </c>
      <c r="BS22" s="115">
        <v>1313.7</v>
      </c>
      <c r="BT22" s="116">
        <f t="shared" si="95"/>
        <v>-2</v>
      </c>
      <c r="BU22" s="117" t="s">
        <v>90</v>
      </c>
      <c r="BV22" s="117">
        <f t="shared" si="96"/>
        <v>0</v>
      </c>
      <c r="BW22" s="117" t="s">
        <v>90</v>
      </c>
      <c r="BX22" s="117">
        <f t="shared" si="97"/>
        <v>0</v>
      </c>
      <c r="BY22" s="117" t="s">
        <v>91</v>
      </c>
      <c r="BZ22" s="117">
        <f t="shared" si="98"/>
        <v>2</v>
      </c>
      <c r="CA22" s="117" t="s">
        <v>90</v>
      </c>
      <c r="CB22" s="117">
        <f t="shared" si="99"/>
        <v>0</v>
      </c>
      <c r="CC22" s="117" t="s">
        <v>90</v>
      </c>
      <c r="CD22" s="117">
        <f t="shared" si="100"/>
        <v>0</v>
      </c>
      <c r="CE22" s="117" t="s">
        <v>90</v>
      </c>
      <c r="CF22" s="117">
        <f t="shared" si="101"/>
        <v>0</v>
      </c>
      <c r="CG22" s="118">
        <v>277.13</v>
      </c>
      <c r="CH22" s="187">
        <v>229.80000000000001</v>
      </c>
      <c r="CI22" s="106">
        <f t="shared" si="102"/>
        <v>-2</v>
      </c>
      <c r="CJ22" s="121">
        <v>103901</v>
      </c>
      <c r="CK22" s="121">
        <v>124113.66</v>
      </c>
      <c r="CL22" s="122">
        <f t="shared" si="103"/>
        <v>4</v>
      </c>
      <c r="CM22" s="123" t="s">
        <v>90</v>
      </c>
      <c r="CN22" s="123">
        <f t="shared" si="104"/>
        <v>0</v>
      </c>
      <c r="CO22" s="123" t="s">
        <v>91</v>
      </c>
      <c r="CP22" s="123">
        <f>IF(CO23="+",4,0)</f>
        <v>0</v>
      </c>
      <c r="CQ22" s="123" t="s">
        <v>90</v>
      </c>
      <c r="CR22" s="123">
        <f t="shared" si="106"/>
        <v>0</v>
      </c>
      <c r="CS22" s="123" t="s">
        <v>90</v>
      </c>
      <c r="CT22" s="124">
        <f t="shared" si="107"/>
        <v>0</v>
      </c>
      <c r="CU22" s="146">
        <v>2873.0050000000001</v>
      </c>
      <c r="CV22" s="121">
        <v>995.69000000000005</v>
      </c>
      <c r="CW22" s="125">
        <f t="shared" si="108"/>
        <v>-2</v>
      </c>
      <c r="CX22" s="126">
        <v>121</v>
      </c>
      <c r="CY22" s="127">
        <f t="shared" si="109"/>
        <v>6</v>
      </c>
      <c r="CZ22" s="148">
        <v>1290255</v>
      </c>
      <c r="DA22" s="128">
        <v>1491798</v>
      </c>
      <c r="DB22" s="127">
        <f t="shared" si="110"/>
        <v>6</v>
      </c>
      <c r="DC22" s="127">
        <v>0</v>
      </c>
      <c r="DD22" s="105" t="s">
        <v>89</v>
      </c>
      <c r="DE22" s="129">
        <f t="shared" si="111"/>
        <v>4</v>
      </c>
      <c r="DF22" s="157">
        <v>50.299999999999997</v>
      </c>
      <c r="DG22" s="131">
        <f t="shared" si="112"/>
        <v>4</v>
      </c>
      <c r="DH22" s="117" t="s">
        <v>57</v>
      </c>
      <c r="DI22" s="132">
        <f t="shared" si="113"/>
        <v>0</v>
      </c>
      <c r="DJ22" s="133" t="s">
        <v>89</v>
      </c>
      <c r="DK22" s="134">
        <f t="shared" si="114"/>
        <v>4</v>
      </c>
      <c r="DL22" s="133" t="s">
        <v>89</v>
      </c>
      <c r="DM22" s="135">
        <f t="shared" si="115"/>
        <v>4</v>
      </c>
      <c r="DN22" s="131" t="s">
        <v>90</v>
      </c>
      <c r="DO22" s="170">
        <f t="shared" si="116"/>
        <v>0</v>
      </c>
      <c r="DP22" s="135" t="s">
        <v>91</v>
      </c>
      <c r="DQ22" s="129">
        <f t="shared" si="117"/>
        <v>0</v>
      </c>
      <c r="DR22" s="136">
        <f>(54.3+51.1+51.1)/3</f>
        <v>52.166666666666664</v>
      </c>
      <c r="DS22" s="105">
        <f t="shared" si="118"/>
        <v>4</v>
      </c>
      <c r="DT22" s="137">
        <v>100</v>
      </c>
      <c r="DU22" s="105">
        <f t="shared" si="119"/>
        <v>4</v>
      </c>
      <c r="DV22" s="138">
        <v>0</v>
      </c>
      <c r="DW22" s="139">
        <f t="shared" si="120"/>
        <v>-2</v>
      </c>
      <c r="DX22" s="150">
        <v>25</v>
      </c>
      <c r="DY22" s="141">
        <f t="shared" si="121"/>
        <v>1</v>
      </c>
      <c r="DZ22" s="142">
        <f t="shared" si="122"/>
        <v>91.5</v>
      </c>
      <c r="EA22" s="143">
        <f t="shared" si="123"/>
        <v>22</v>
      </c>
    </row>
    <row r="23" s="1" customFormat="1" ht="15">
      <c r="A23" s="104" t="s">
        <v>110</v>
      </c>
      <c r="B23" s="105" t="s">
        <v>89</v>
      </c>
      <c r="C23" s="105">
        <f t="shared" si="62"/>
        <v>4</v>
      </c>
      <c r="D23" s="105" t="s">
        <v>89</v>
      </c>
      <c r="E23" s="105">
        <f t="shared" si="63"/>
        <v>4</v>
      </c>
      <c r="F23" s="105" t="s">
        <v>91</v>
      </c>
      <c r="G23" s="105">
        <f t="shared" si="64"/>
        <v>0.5</v>
      </c>
      <c r="H23" s="105" t="s">
        <v>90</v>
      </c>
      <c r="I23" s="105">
        <f t="shared" si="65"/>
        <v>0</v>
      </c>
      <c r="J23" s="105" t="s">
        <v>91</v>
      </c>
      <c r="K23" s="105">
        <f t="shared" si="66"/>
        <v>0.5</v>
      </c>
      <c r="L23" s="105" t="s">
        <v>90</v>
      </c>
      <c r="M23" s="105">
        <f t="shared" si="67"/>
        <v>0</v>
      </c>
      <c r="N23" s="106" t="s">
        <v>89</v>
      </c>
      <c r="O23" s="105">
        <f t="shared" si="68"/>
        <v>4</v>
      </c>
      <c r="P23" s="106" t="s">
        <v>89</v>
      </c>
      <c r="Q23" s="105">
        <f t="shared" si="69"/>
        <v>0.5</v>
      </c>
      <c r="R23" s="105" t="s">
        <v>89</v>
      </c>
      <c r="S23" s="105">
        <f t="shared" si="70"/>
        <v>0.5</v>
      </c>
      <c r="T23" s="105" t="s">
        <v>89</v>
      </c>
      <c r="U23" s="105">
        <f t="shared" si="71"/>
        <v>0.5</v>
      </c>
      <c r="V23" s="105" t="s">
        <v>89</v>
      </c>
      <c r="W23" s="105">
        <f t="shared" si="72"/>
        <v>0.5</v>
      </c>
      <c r="X23" s="105" t="s">
        <v>89</v>
      </c>
      <c r="Y23" s="105">
        <f t="shared" si="73"/>
        <v>4</v>
      </c>
      <c r="Z23" s="105" t="s">
        <v>90</v>
      </c>
      <c r="AA23" s="105">
        <f t="shared" si="74"/>
        <v>0</v>
      </c>
      <c r="AB23" s="105" t="s">
        <v>89</v>
      </c>
      <c r="AC23" s="105">
        <f t="shared" si="75"/>
        <v>4</v>
      </c>
      <c r="AD23" s="105" t="s">
        <v>89</v>
      </c>
      <c r="AE23" s="105">
        <f t="shared" si="76"/>
        <v>4</v>
      </c>
      <c r="AF23" s="105">
        <v>7</v>
      </c>
      <c r="AG23" s="105">
        <f t="shared" si="77"/>
        <v>7</v>
      </c>
      <c r="AH23" s="105" t="s">
        <v>89</v>
      </c>
      <c r="AI23" s="107">
        <f t="shared" si="78"/>
        <v>4</v>
      </c>
      <c r="AJ23" s="105" t="s">
        <v>57</v>
      </c>
      <c r="AK23" s="107" t="s">
        <v>90</v>
      </c>
      <c r="AL23" s="108" t="s">
        <v>90</v>
      </c>
      <c r="AM23" s="109">
        <f t="shared" si="79"/>
        <v>4</v>
      </c>
      <c r="AN23" s="110">
        <v>92.200000000000003</v>
      </c>
      <c r="AO23" s="111">
        <f t="shared" si="80"/>
        <v>4</v>
      </c>
      <c r="AP23" s="112">
        <v>64.400000000000006</v>
      </c>
      <c r="AQ23" s="111">
        <f t="shared" si="81"/>
        <v>4</v>
      </c>
      <c r="AR23" s="110">
        <v>1.5</v>
      </c>
      <c r="AS23" s="111">
        <f t="shared" si="82"/>
        <v>0</v>
      </c>
      <c r="AT23" s="110">
        <v>2</v>
      </c>
      <c r="AU23" s="113">
        <f t="shared" si="83"/>
        <v>0</v>
      </c>
      <c r="AV23" s="145">
        <v>11.1</v>
      </c>
      <c r="AW23" s="105">
        <f t="shared" si="84"/>
        <v>0</v>
      </c>
      <c r="AX23" s="106" t="s">
        <v>89</v>
      </c>
      <c r="AY23" s="105">
        <f t="shared" si="85"/>
        <v>4</v>
      </c>
      <c r="AZ23" s="106" t="s">
        <v>89</v>
      </c>
      <c r="BA23" s="105">
        <f t="shared" si="86"/>
        <v>0.5</v>
      </c>
      <c r="BB23" s="106" t="s">
        <v>89</v>
      </c>
      <c r="BC23" s="105">
        <f t="shared" si="87"/>
        <v>0.5</v>
      </c>
      <c r="BD23" s="106" t="s">
        <v>89</v>
      </c>
      <c r="BE23" s="105">
        <f t="shared" si="88"/>
        <v>0.5</v>
      </c>
      <c r="BF23" s="106" t="s">
        <v>89</v>
      </c>
      <c r="BG23" s="105">
        <f t="shared" si="89"/>
        <v>0.5</v>
      </c>
      <c r="BH23" s="106" t="s">
        <v>89</v>
      </c>
      <c r="BI23" s="105">
        <f t="shared" si="90"/>
        <v>0.5</v>
      </c>
      <c r="BJ23" s="106" t="s">
        <v>89</v>
      </c>
      <c r="BK23" s="105">
        <f t="shared" si="91"/>
        <v>4</v>
      </c>
      <c r="BL23" s="105" t="s">
        <v>90</v>
      </c>
      <c r="BM23" s="105">
        <f t="shared" si="92"/>
        <v>0</v>
      </c>
      <c r="BN23" s="105" t="s">
        <v>91</v>
      </c>
      <c r="BO23" s="105">
        <f t="shared" si="93"/>
        <v>1</v>
      </c>
      <c r="BP23" s="105" t="s">
        <v>90</v>
      </c>
      <c r="BQ23" s="107">
        <f t="shared" si="94"/>
        <v>0</v>
      </c>
      <c r="BR23" s="114">
        <v>1830.0999999999999</v>
      </c>
      <c r="BS23" s="115">
        <v>1121.0999999999999</v>
      </c>
      <c r="BT23" s="116">
        <f t="shared" si="95"/>
        <v>-2</v>
      </c>
      <c r="BU23" s="178" t="s">
        <v>90</v>
      </c>
      <c r="BV23" s="178">
        <f t="shared" si="96"/>
        <v>0</v>
      </c>
      <c r="BW23" s="178" t="s">
        <v>90</v>
      </c>
      <c r="BX23" s="178">
        <f t="shared" si="97"/>
        <v>0</v>
      </c>
      <c r="BY23" s="178" t="s">
        <v>91</v>
      </c>
      <c r="BZ23" s="178">
        <f t="shared" si="98"/>
        <v>2</v>
      </c>
      <c r="CA23" s="178" t="s">
        <v>90</v>
      </c>
      <c r="CB23" s="178">
        <f t="shared" si="99"/>
        <v>0</v>
      </c>
      <c r="CC23" s="6" t="s">
        <v>90</v>
      </c>
      <c r="CD23" s="117">
        <f t="shared" si="100"/>
        <v>0</v>
      </c>
      <c r="CE23" s="6" t="s">
        <v>90</v>
      </c>
      <c r="CF23" s="117">
        <f t="shared" si="101"/>
        <v>0</v>
      </c>
      <c r="CG23" s="118">
        <v>277.13</v>
      </c>
      <c r="CH23" s="188">
        <v>220</v>
      </c>
      <c r="CI23" s="120">
        <f t="shared" si="102"/>
        <v>-2</v>
      </c>
      <c r="CJ23" s="121">
        <v>212334</v>
      </c>
      <c r="CK23" s="121">
        <v>170005.14999999999</v>
      </c>
      <c r="CL23" s="122">
        <f t="shared" si="103"/>
        <v>-2</v>
      </c>
      <c r="CM23" s="123" t="s">
        <v>90</v>
      </c>
      <c r="CN23" s="123">
        <f t="shared" si="104"/>
        <v>0</v>
      </c>
      <c r="CO23" s="123" t="s">
        <v>90</v>
      </c>
      <c r="CP23" s="123">
        <f>IF(CO25="+",4,0)</f>
        <v>0</v>
      </c>
      <c r="CQ23" s="123" t="s">
        <v>91</v>
      </c>
      <c r="CR23" s="123">
        <f t="shared" si="106"/>
        <v>0</v>
      </c>
      <c r="CS23" s="123" t="s">
        <v>90</v>
      </c>
      <c r="CT23" s="124">
        <f t="shared" si="107"/>
        <v>0</v>
      </c>
      <c r="CU23" s="146">
        <v>37.399999999999999</v>
      </c>
      <c r="CV23" s="121">
        <v>37.119999999999997</v>
      </c>
      <c r="CW23" s="125">
        <f t="shared" si="108"/>
        <v>-2</v>
      </c>
      <c r="CX23" s="147">
        <v>114.8</v>
      </c>
      <c r="CY23" s="127">
        <f t="shared" si="109"/>
        <v>6</v>
      </c>
      <c r="CZ23" s="148">
        <v>262936</v>
      </c>
      <c r="DA23" s="128">
        <v>320517</v>
      </c>
      <c r="DB23" s="127">
        <f t="shared" si="110"/>
        <v>6</v>
      </c>
      <c r="DC23" s="127">
        <v>4</v>
      </c>
      <c r="DD23" s="105" t="s">
        <v>89</v>
      </c>
      <c r="DE23" s="129">
        <f t="shared" si="111"/>
        <v>4</v>
      </c>
      <c r="DF23" s="105">
        <v>84</v>
      </c>
      <c r="DG23" s="131">
        <f t="shared" si="112"/>
        <v>4</v>
      </c>
      <c r="DH23" s="117" t="s">
        <v>57</v>
      </c>
      <c r="DI23" s="132">
        <f t="shared" si="113"/>
        <v>0</v>
      </c>
      <c r="DJ23" s="133" t="s">
        <v>57</v>
      </c>
      <c r="DK23" s="134">
        <f t="shared" si="114"/>
        <v>0</v>
      </c>
      <c r="DL23" s="133" t="s">
        <v>89</v>
      </c>
      <c r="DM23" s="135">
        <f t="shared" si="115"/>
        <v>4</v>
      </c>
      <c r="DN23" s="189" t="s">
        <v>90</v>
      </c>
      <c r="DO23" s="170">
        <f t="shared" si="116"/>
        <v>0</v>
      </c>
      <c r="DP23" s="159" t="s">
        <v>91</v>
      </c>
      <c r="DQ23" s="156">
        <f t="shared" si="117"/>
        <v>0</v>
      </c>
      <c r="DR23" s="136">
        <f>(53.3+56.5+52.2)/3</f>
        <v>54</v>
      </c>
      <c r="DS23" s="106">
        <f t="shared" si="118"/>
        <v>4</v>
      </c>
      <c r="DT23" s="190">
        <v>100</v>
      </c>
      <c r="DU23" s="106">
        <f t="shared" si="119"/>
        <v>4</v>
      </c>
      <c r="DV23" s="191">
        <v>0</v>
      </c>
      <c r="DW23" s="139">
        <f t="shared" si="120"/>
        <v>-2</v>
      </c>
      <c r="DX23" s="150">
        <v>100</v>
      </c>
      <c r="DY23" s="106">
        <f t="shared" si="121"/>
        <v>4</v>
      </c>
      <c r="DZ23" s="142">
        <f t="shared" si="122"/>
        <v>93.5</v>
      </c>
      <c r="EA23" s="192">
        <f t="shared" si="123"/>
        <v>20</v>
      </c>
    </row>
    <row r="24" s="1" customFormat="1" ht="15">
      <c r="A24" s="104" t="s">
        <v>111</v>
      </c>
      <c r="B24" s="105" t="s">
        <v>89</v>
      </c>
      <c r="C24" s="105">
        <f t="shared" si="62"/>
        <v>4</v>
      </c>
      <c r="D24" s="105" t="s">
        <v>89</v>
      </c>
      <c r="E24" s="105">
        <f t="shared" si="63"/>
        <v>4</v>
      </c>
      <c r="F24" s="105" t="s">
        <v>91</v>
      </c>
      <c r="G24" s="105">
        <f t="shared" si="64"/>
        <v>0.5</v>
      </c>
      <c r="H24" s="105" t="s">
        <v>90</v>
      </c>
      <c r="I24" s="105">
        <f t="shared" si="65"/>
        <v>0</v>
      </c>
      <c r="J24" s="105" t="s">
        <v>91</v>
      </c>
      <c r="K24" s="105">
        <f t="shared" si="66"/>
        <v>0.5</v>
      </c>
      <c r="L24" s="105" t="s">
        <v>90</v>
      </c>
      <c r="M24" s="105">
        <f t="shared" si="67"/>
        <v>0</v>
      </c>
      <c r="N24" s="105" t="s">
        <v>89</v>
      </c>
      <c r="O24" s="105">
        <f t="shared" si="68"/>
        <v>4</v>
      </c>
      <c r="P24" s="105" t="s">
        <v>89</v>
      </c>
      <c r="Q24" s="105">
        <f t="shared" si="69"/>
        <v>0.5</v>
      </c>
      <c r="R24" s="106" t="s">
        <v>89</v>
      </c>
      <c r="S24" s="105">
        <f t="shared" si="70"/>
        <v>0.5</v>
      </c>
      <c r="T24" s="106" t="s">
        <v>89</v>
      </c>
      <c r="U24" s="105">
        <f t="shared" si="71"/>
        <v>0.5</v>
      </c>
      <c r="V24" s="106" t="s">
        <v>89</v>
      </c>
      <c r="W24" s="105">
        <f t="shared" si="72"/>
        <v>0.5</v>
      </c>
      <c r="X24" s="106" t="s">
        <v>89</v>
      </c>
      <c r="Y24" s="105">
        <f t="shared" si="73"/>
        <v>4</v>
      </c>
      <c r="Z24" s="105" t="s">
        <v>91</v>
      </c>
      <c r="AA24" s="105">
        <f t="shared" si="74"/>
        <v>0.5</v>
      </c>
      <c r="AB24" s="105" t="s">
        <v>89</v>
      </c>
      <c r="AC24" s="105">
        <f t="shared" si="75"/>
        <v>4</v>
      </c>
      <c r="AD24" s="105" t="s">
        <v>89</v>
      </c>
      <c r="AE24" s="105">
        <f t="shared" si="76"/>
        <v>4</v>
      </c>
      <c r="AF24" s="105">
        <v>0</v>
      </c>
      <c r="AG24" s="105">
        <f t="shared" si="77"/>
        <v>0</v>
      </c>
      <c r="AH24" s="106" t="s">
        <v>89</v>
      </c>
      <c r="AI24" s="107">
        <f t="shared" si="78"/>
        <v>4</v>
      </c>
      <c r="AJ24" s="105" t="s">
        <v>57</v>
      </c>
      <c r="AK24" s="107" t="s">
        <v>90</v>
      </c>
      <c r="AL24" s="108" t="s">
        <v>90</v>
      </c>
      <c r="AM24" s="109">
        <f t="shared" si="79"/>
        <v>4</v>
      </c>
      <c r="AN24" s="110" t="s">
        <v>90</v>
      </c>
      <c r="AO24" s="111">
        <v>-2</v>
      </c>
      <c r="AP24" s="112">
        <v>60.5</v>
      </c>
      <c r="AQ24" s="111">
        <f t="shared" si="81"/>
        <v>4</v>
      </c>
      <c r="AR24" s="110">
        <v>1</v>
      </c>
      <c r="AS24" s="111">
        <f t="shared" si="82"/>
        <v>0</v>
      </c>
      <c r="AT24" s="110">
        <v>2</v>
      </c>
      <c r="AU24" s="113">
        <f t="shared" si="83"/>
        <v>0</v>
      </c>
      <c r="AV24" s="186">
        <v>10</v>
      </c>
      <c r="AW24" s="105">
        <f t="shared" si="84"/>
        <v>0</v>
      </c>
      <c r="AX24" s="105" t="s">
        <v>89</v>
      </c>
      <c r="AY24" s="105">
        <f t="shared" si="85"/>
        <v>4</v>
      </c>
      <c r="AZ24" s="105" t="s">
        <v>89</v>
      </c>
      <c r="BA24" s="105">
        <f t="shared" si="86"/>
        <v>0.5</v>
      </c>
      <c r="BB24" s="105" t="s">
        <v>89</v>
      </c>
      <c r="BC24" s="105">
        <f t="shared" si="87"/>
        <v>0.5</v>
      </c>
      <c r="BD24" s="105" t="s">
        <v>89</v>
      </c>
      <c r="BE24" s="105">
        <f t="shared" si="88"/>
        <v>0.5</v>
      </c>
      <c r="BF24" s="105" t="s">
        <v>89</v>
      </c>
      <c r="BG24" s="105">
        <f t="shared" si="89"/>
        <v>0.5</v>
      </c>
      <c r="BH24" s="105" t="s">
        <v>89</v>
      </c>
      <c r="BI24" s="105">
        <f t="shared" si="90"/>
        <v>0.5</v>
      </c>
      <c r="BJ24" s="105" t="s">
        <v>89</v>
      </c>
      <c r="BK24" s="105">
        <f t="shared" si="91"/>
        <v>4</v>
      </c>
      <c r="BL24" s="105" t="s">
        <v>90</v>
      </c>
      <c r="BM24" s="105">
        <f t="shared" si="92"/>
        <v>0</v>
      </c>
      <c r="BN24" s="105" t="s">
        <v>91</v>
      </c>
      <c r="BO24" s="105">
        <f t="shared" si="93"/>
        <v>1</v>
      </c>
      <c r="BP24" s="105" t="s">
        <v>90</v>
      </c>
      <c r="BQ24" s="107">
        <f t="shared" si="94"/>
        <v>0</v>
      </c>
      <c r="BR24" s="114">
        <v>1232.8</v>
      </c>
      <c r="BS24" s="115">
        <v>1030.2</v>
      </c>
      <c r="BT24" s="116">
        <f t="shared" si="95"/>
        <v>-2</v>
      </c>
      <c r="BU24" s="178" t="s">
        <v>90</v>
      </c>
      <c r="BV24" s="178">
        <f t="shared" si="96"/>
        <v>0</v>
      </c>
      <c r="BW24" s="178" t="s">
        <v>90</v>
      </c>
      <c r="BX24" s="178">
        <f t="shared" si="97"/>
        <v>0</v>
      </c>
      <c r="BY24" s="178" t="s">
        <v>91</v>
      </c>
      <c r="BZ24" s="178">
        <f t="shared" si="98"/>
        <v>2</v>
      </c>
      <c r="CA24" s="178" t="s">
        <v>90</v>
      </c>
      <c r="CB24" s="178">
        <f t="shared" si="99"/>
        <v>0</v>
      </c>
      <c r="CC24" s="117" t="s">
        <v>90</v>
      </c>
      <c r="CD24" s="117">
        <f t="shared" si="100"/>
        <v>0</v>
      </c>
      <c r="CE24" s="117" t="s">
        <v>90</v>
      </c>
      <c r="CF24" s="117">
        <f t="shared" si="101"/>
        <v>0</v>
      </c>
      <c r="CG24" s="118">
        <v>277.13</v>
      </c>
      <c r="CH24" s="119">
        <v>204.27000000000001</v>
      </c>
      <c r="CI24" s="120">
        <f t="shared" si="102"/>
        <v>-2</v>
      </c>
      <c r="CJ24" s="121">
        <v>142861</v>
      </c>
      <c r="CK24" s="121">
        <v>181463.91</v>
      </c>
      <c r="CL24" s="122">
        <f t="shared" si="103"/>
        <v>4</v>
      </c>
      <c r="CM24" s="123" t="s">
        <v>90</v>
      </c>
      <c r="CN24" s="123">
        <f t="shared" si="104"/>
        <v>0</v>
      </c>
      <c r="CO24" s="123" t="s">
        <v>91</v>
      </c>
      <c r="CP24" s="123">
        <f>IF(CO22="+",4,0)</f>
        <v>4</v>
      </c>
      <c r="CQ24" s="123" t="s">
        <v>90</v>
      </c>
      <c r="CR24" s="123">
        <f t="shared" si="106"/>
        <v>0</v>
      </c>
      <c r="CS24" s="123" t="s">
        <v>90</v>
      </c>
      <c r="CT24" s="124">
        <f t="shared" si="107"/>
        <v>0</v>
      </c>
      <c r="CU24" s="146">
        <v>1345.953</v>
      </c>
      <c r="CV24" s="121">
        <v>535.79999999999995</v>
      </c>
      <c r="CW24" s="125">
        <f t="shared" si="108"/>
        <v>-2</v>
      </c>
      <c r="CX24" s="147">
        <v>115.7</v>
      </c>
      <c r="CY24" s="127">
        <f t="shared" si="109"/>
        <v>6</v>
      </c>
      <c r="CZ24" s="148">
        <v>268788</v>
      </c>
      <c r="DA24" s="128">
        <v>306868</v>
      </c>
      <c r="DB24" s="127">
        <f t="shared" si="110"/>
        <v>6</v>
      </c>
      <c r="DC24" s="127">
        <v>4</v>
      </c>
      <c r="DD24" s="105" t="s">
        <v>89</v>
      </c>
      <c r="DE24" s="129">
        <f t="shared" si="111"/>
        <v>4</v>
      </c>
      <c r="DF24" s="127">
        <v>77</v>
      </c>
      <c r="DG24" s="131">
        <f t="shared" si="112"/>
        <v>4</v>
      </c>
      <c r="DH24" s="117" t="s">
        <v>57</v>
      </c>
      <c r="DI24" s="132">
        <f t="shared" si="113"/>
        <v>0</v>
      </c>
      <c r="DJ24" s="133" t="s">
        <v>89</v>
      </c>
      <c r="DK24" s="134">
        <f t="shared" si="114"/>
        <v>4</v>
      </c>
      <c r="DL24" s="133" t="s">
        <v>89</v>
      </c>
      <c r="DM24" s="134">
        <f t="shared" si="115"/>
        <v>4</v>
      </c>
      <c r="DN24" s="170" t="s">
        <v>90</v>
      </c>
      <c r="DO24" s="170">
        <f t="shared" si="116"/>
        <v>0</v>
      </c>
      <c r="DP24" s="170" t="s">
        <v>90</v>
      </c>
      <c r="DQ24" s="170">
        <f t="shared" si="117"/>
        <v>0</v>
      </c>
      <c r="DR24" s="193">
        <f>(47.1+47.7+43)/3</f>
        <v>45.933333333333337</v>
      </c>
      <c r="DS24" s="139">
        <f t="shared" si="118"/>
        <v>2</v>
      </c>
      <c r="DT24" s="150">
        <v>66.700000000000003</v>
      </c>
      <c r="DU24" s="139">
        <f t="shared" si="119"/>
        <v>4</v>
      </c>
      <c r="DV24" s="150">
        <v>0</v>
      </c>
      <c r="DW24" s="139">
        <f t="shared" si="120"/>
        <v>-2</v>
      </c>
      <c r="DX24" s="150">
        <v>66.700000000000003</v>
      </c>
      <c r="DY24" s="139">
        <f t="shared" si="121"/>
        <v>4</v>
      </c>
      <c r="DZ24" s="142">
        <f t="shared" si="122"/>
        <v>93</v>
      </c>
      <c r="EA24" s="194">
        <f t="shared" si="123"/>
        <v>21</v>
      </c>
    </row>
    <row r="25" s="1" customFormat="1" ht="15" customHeight="1">
      <c r="A25" s="104" t="s">
        <v>112</v>
      </c>
      <c r="B25" s="105" t="s">
        <v>89</v>
      </c>
      <c r="C25" s="105">
        <f t="shared" si="62"/>
        <v>4</v>
      </c>
      <c r="D25" s="105" t="s">
        <v>89</v>
      </c>
      <c r="E25" s="105">
        <f t="shared" si="63"/>
        <v>4</v>
      </c>
      <c r="F25" s="105" t="s">
        <v>90</v>
      </c>
      <c r="G25" s="105">
        <f t="shared" si="64"/>
        <v>0</v>
      </c>
      <c r="H25" s="105" t="s">
        <v>91</v>
      </c>
      <c r="I25" s="105">
        <f t="shared" si="65"/>
        <v>1</v>
      </c>
      <c r="J25" s="105" t="s">
        <v>91</v>
      </c>
      <c r="K25" s="105">
        <f t="shared" si="66"/>
        <v>0.5</v>
      </c>
      <c r="L25" s="105" t="s">
        <v>90</v>
      </c>
      <c r="M25" s="105">
        <f t="shared" si="67"/>
        <v>0</v>
      </c>
      <c r="N25" s="106" t="s">
        <v>89</v>
      </c>
      <c r="O25" s="105">
        <f t="shared" si="68"/>
        <v>4</v>
      </c>
      <c r="P25" s="106" t="s">
        <v>89</v>
      </c>
      <c r="Q25" s="105">
        <f t="shared" si="69"/>
        <v>0.5</v>
      </c>
      <c r="R25" s="105" t="s">
        <v>57</v>
      </c>
      <c r="S25" s="105">
        <f t="shared" si="70"/>
        <v>0</v>
      </c>
      <c r="T25" s="105" t="s">
        <v>89</v>
      </c>
      <c r="U25" s="105">
        <f t="shared" si="71"/>
        <v>0.5</v>
      </c>
      <c r="V25" s="105" t="s">
        <v>89</v>
      </c>
      <c r="W25" s="105">
        <f t="shared" si="72"/>
        <v>0.5</v>
      </c>
      <c r="X25" s="105" t="s">
        <v>89</v>
      </c>
      <c r="Y25" s="105">
        <f t="shared" si="73"/>
        <v>4</v>
      </c>
      <c r="Z25" s="105" t="s">
        <v>91</v>
      </c>
      <c r="AA25" s="105">
        <f t="shared" si="74"/>
        <v>0.5</v>
      </c>
      <c r="AB25" s="106" t="s">
        <v>89</v>
      </c>
      <c r="AC25" s="105">
        <f t="shared" si="75"/>
        <v>4</v>
      </c>
      <c r="AD25" s="105" t="s">
        <v>89</v>
      </c>
      <c r="AE25" s="105">
        <f t="shared" si="76"/>
        <v>4</v>
      </c>
      <c r="AF25" s="105">
        <v>1</v>
      </c>
      <c r="AG25" s="105">
        <f t="shared" si="77"/>
        <v>1</v>
      </c>
      <c r="AH25" s="105" t="s">
        <v>89</v>
      </c>
      <c r="AI25" s="105">
        <f t="shared" si="78"/>
        <v>4</v>
      </c>
      <c r="AJ25" s="107" t="s">
        <v>57</v>
      </c>
      <c r="AK25" s="105" t="s">
        <v>90</v>
      </c>
      <c r="AL25" s="108" t="s">
        <v>90</v>
      </c>
      <c r="AM25" s="109">
        <f t="shared" si="79"/>
        <v>4</v>
      </c>
      <c r="AN25" s="110">
        <v>0</v>
      </c>
      <c r="AO25" s="111">
        <f t="shared" si="80"/>
        <v>-2</v>
      </c>
      <c r="AP25" s="112">
        <v>57.100000000000001</v>
      </c>
      <c r="AQ25" s="111">
        <f t="shared" si="81"/>
        <v>4</v>
      </c>
      <c r="AR25" s="172" t="s">
        <v>90</v>
      </c>
      <c r="AS25" s="111">
        <v>-2</v>
      </c>
      <c r="AT25" s="110">
        <v>1.6000000000000001</v>
      </c>
      <c r="AU25" s="113">
        <f t="shared" si="83"/>
        <v>0</v>
      </c>
      <c r="AV25" s="145">
        <v>2.6000000000000001</v>
      </c>
      <c r="AW25" s="105">
        <f t="shared" si="84"/>
        <v>2</v>
      </c>
      <c r="AX25" s="106" t="s">
        <v>89</v>
      </c>
      <c r="AY25" s="105">
        <f t="shared" si="85"/>
        <v>4</v>
      </c>
      <c r="AZ25" s="106" t="s">
        <v>89</v>
      </c>
      <c r="BA25" s="105">
        <f t="shared" si="86"/>
        <v>0.5</v>
      </c>
      <c r="BB25" s="106" t="s">
        <v>89</v>
      </c>
      <c r="BC25" s="105">
        <f t="shared" si="87"/>
        <v>0.5</v>
      </c>
      <c r="BD25" s="106" t="s">
        <v>89</v>
      </c>
      <c r="BE25" s="105">
        <f t="shared" si="88"/>
        <v>0.5</v>
      </c>
      <c r="BF25" s="106" t="s">
        <v>89</v>
      </c>
      <c r="BG25" s="105">
        <f t="shared" si="89"/>
        <v>0.5</v>
      </c>
      <c r="BH25" s="106" t="s">
        <v>57</v>
      </c>
      <c r="BI25" s="105">
        <f t="shared" si="90"/>
        <v>0</v>
      </c>
      <c r="BJ25" s="106" t="s">
        <v>89</v>
      </c>
      <c r="BK25" s="105">
        <f t="shared" si="91"/>
        <v>4</v>
      </c>
      <c r="BL25" s="105" t="s">
        <v>91</v>
      </c>
      <c r="BM25" s="105">
        <f t="shared" si="92"/>
        <v>0.5</v>
      </c>
      <c r="BN25" s="105" t="s">
        <v>90</v>
      </c>
      <c r="BO25" s="105">
        <f t="shared" si="93"/>
        <v>0</v>
      </c>
      <c r="BP25" s="105" t="s">
        <v>90</v>
      </c>
      <c r="BQ25" s="107">
        <f t="shared" si="94"/>
        <v>0</v>
      </c>
      <c r="BR25" s="114">
        <v>335.09999999999997</v>
      </c>
      <c r="BS25" s="115">
        <v>356.19999999999999</v>
      </c>
      <c r="BT25" s="116">
        <f t="shared" si="95"/>
        <v>4</v>
      </c>
      <c r="BU25" s="117" t="s">
        <v>90</v>
      </c>
      <c r="BV25" s="117">
        <f t="shared" si="96"/>
        <v>0</v>
      </c>
      <c r="BW25" s="117" t="s">
        <v>90</v>
      </c>
      <c r="BX25" s="117">
        <f t="shared" si="97"/>
        <v>0</v>
      </c>
      <c r="BY25" s="117" t="s">
        <v>90</v>
      </c>
      <c r="BZ25" s="117">
        <f t="shared" si="98"/>
        <v>0</v>
      </c>
      <c r="CA25" s="117" t="s">
        <v>91</v>
      </c>
      <c r="CB25" s="117">
        <f t="shared" si="99"/>
        <v>0</v>
      </c>
      <c r="CC25" s="6" t="s">
        <v>90</v>
      </c>
      <c r="CD25" s="117">
        <f t="shared" si="100"/>
        <v>0</v>
      </c>
      <c r="CE25" s="6" t="s">
        <v>90</v>
      </c>
      <c r="CF25" s="117">
        <f t="shared" si="101"/>
        <v>0</v>
      </c>
      <c r="CG25" s="118">
        <v>277.13</v>
      </c>
      <c r="CH25" s="119">
        <v>184.25999999999999</v>
      </c>
      <c r="CI25" s="106">
        <f t="shared" si="102"/>
        <v>-2</v>
      </c>
      <c r="CJ25" s="121">
        <v>54565</v>
      </c>
      <c r="CK25" s="121">
        <v>55550.059999999998</v>
      </c>
      <c r="CL25" s="122">
        <f t="shared" si="103"/>
        <v>2</v>
      </c>
      <c r="CM25" s="123" t="s">
        <v>90</v>
      </c>
      <c r="CN25" s="123">
        <f t="shared" si="104"/>
        <v>0</v>
      </c>
      <c r="CO25" s="123" t="s">
        <v>90</v>
      </c>
      <c r="CP25" s="123">
        <f>IF(CO26="+",4,0)</f>
        <v>4</v>
      </c>
      <c r="CQ25" s="123" t="s">
        <v>91</v>
      </c>
      <c r="CR25" s="123">
        <f t="shared" si="106"/>
        <v>0</v>
      </c>
      <c r="CS25" s="123" t="s">
        <v>90</v>
      </c>
      <c r="CT25" s="124">
        <f t="shared" si="107"/>
        <v>0</v>
      </c>
      <c r="CU25" s="121">
        <v>407.51999999999998</v>
      </c>
      <c r="CV25" s="121">
        <v>127.06</v>
      </c>
      <c r="CW25" s="125">
        <f t="shared" si="108"/>
        <v>-2</v>
      </c>
      <c r="CX25" s="147">
        <v>120.7</v>
      </c>
      <c r="CY25" s="127">
        <f t="shared" si="109"/>
        <v>6</v>
      </c>
      <c r="CZ25" s="148">
        <v>242326</v>
      </c>
      <c r="DA25" s="128">
        <v>263438</v>
      </c>
      <c r="DB25" s="127">
        <f t="shared" si="110"/>
        <v>6</v>
      </c>
      <c r="DC25" s="127">
        <v>4</v>
      </c>
      <c r="DD25" s="105" t="s">
        <v>89</v>
      </c>
      <c r="DE25" s="129">
        <f t="shared" si="111"/>
        <v>4</v>
      </c>
      <c r="DF25" s="157">
        <v>69.400000000000006</v>
      </c>
      <c r="DG25" s="131">
        <f t="shared" si="112"/>
        <v>4</v>
      </c>
      <c r="DH25" s="117" t="s">
        <v>57</v>
      </c>
      <c r="DI25" s="132">
        <f t="shared" si="113"/>
        <v>0</v>
      </c>
      <c r="DJ25" s="133" t="s">
        <v>89</v>
      </c>
      <c r="DK25" s="134">
        <f t="shared" si="114"/>
        <v>4</v>
      </c>
      <c r="DL25" s="133" t="s">
        <v>89</v>
      </c>
      <c r="DM25" s="134">
        <f t="shared" si="115"/>
        <v>4</v>
      </c>
      <c r="DN25" s="170" t="s">
        <v>90</v>
      </c>
      <c r="DO25" s="170">
        <f t="shared" si="116"/>
        <v>0</v>
      </c>
      <c r="DP25" s="170" t="s">
        <v>91</v>
      </c>
      <c r="DQ25" s="170">
        <f t="shared" si="117"/>
        <v>0</v>
      </c>
      <c r="DR25" s="193">
        <f>(35.5+30.2+33.3)/3</f>
        <v>33</v>
      </c>
      <c r="DS25" s="139">
        <f t="shared" si="118"/>
        <v>2</v>
      </c>
      <c r="DT25" s="150">
        <v>50</v>
      </c>
      <c r="DU25" s="139">
        <f t="shared" si="119"/>
        <v>4</v>
      </c>
      <c r="DV25" s="150">
        <v>33</v>
      </c>
      <c r="DW25" s="139">
        <f t="shared" si="120"/>
        <v>1</v>
      </c>
      <c r="DX25" s="150">
        <v>25</v>
      </c>
      <c r="DY25" s="139">
        <f t="shared" si="121"/>
        <v>1</v>
      </c>
      <c r="DZ25" s="142">
        <f t="shared" si="122"/>
        <v>95</v>
      </c>
      <c r="EA25" s="194">
        <f t="shared" si="123"/>
        <v>19</v>
      </c>
    </row>
    <row r="26" s="1" customFormat="1" ht="15">
      <c r="A26" s="104" t="s">
        <v>113</v>
      </c>
      <c r="B26" s="105" t="s">
        <v>89</v>
      </c>
      <c r="C26" s="105">
        <f t="shared" si="62"/>
        <v>4</v>
      </c>
      <c r="D26" s="105" t="s">
        <v>89</v>
      </c>
      <c r="E26" s="105">
        <f t="shared" si="63"/>
        <v>4</v>
      </c>
      <c r="F26" s="105" t="s">
        <v>90</v>
      </c>
      <c r="G26" s="105">
        <f t="shared" si="64"/>
        <v>0</v>
      </c>
      <c r="H26" s="105" t="s">
        <v>91</v>
      </c>
      <c r="I26" s="105">
        <f t="shared" si="65"/>
        <v>1</v>
      </c>
      <c r="J26" s="105" t="s">
        <v>91</v>
      </c>
      <c r="K26" s="105">
        <f t="shared" si="66"/>
        <v>0.5</v>
      </c>
      <c r="L26" s="105" t="s">
        <v>90</v>
      </c>
      <c r="M26" s="105">
        <f t="shared" si="67"/>
        <v>0</v>
      </c>
      <c r="N26" s="105" t="s">
        <v>89</v>
      </c>
      <c r="O26" s="105">
        <f t="shared" si="68"/>
        <v>4</v>
      </c>
      <c r="P26" s="105" t="s">
        <v>89</v>
      </c>
      <c r="Q26" s="105">
        <f t="shared" si="69"/>
        <v>0.5</v>
      </c>
      <c r="R26" s="106" t="s">
        <v>89</v>
      </c>
      <c r="S26" s="105">
        <f t="shared" si="70"/>
        <v>0.5</v>
      </c>
      <c r="T26" s="106" t="s">
        <v>89</v>
      </c>
      <c r="U26" s="105">
        <f t="shared" si="71"/>
        <v>0.5</v>
      </c>
      <c r="V26" s="106" t="s">
        <v>89</v>
      </c>
      <c r="W26" s="105">
        <f t="shared" si="72"/>
        <v>0.5</v>
      </c>
      <c r="X26" s="106" t="s">
        <v>89</v>
      </c>
      <c r="Y26" s="105">
        <f t="shared" si="73"/>
        <v>4</v>
      </c>
      <c r="Z26" s="105" t="s">
        <v>91</v>
      </c>
      <c r="AA26" s="105">
        <f t="shared" si="74"/>
        <v>0.5</v>
      </c>
      <c r="AB26" s="105" t="s">
        <v>89</v>
      </c>
      <c r="AC26" s="105">
        <f t="shared" si="75"/>
        <v>4</v>
      </c>
      <c r="AD26" s="105" t="s">
        <v>89</v>
      </c>
      <c r="AE26" s="105">
        <f t="shared" si="76"/>
        <v>4</v>
      </c>
      <c r="AF26" s="105">
        <v>0</v>
      </c>
      <c r="AG26" s="105">
        <f t="shared" si="77"/>
        <v>0</v>
      </c>
      <c r="AH26" s="106" t="s">
        <v>89</v>
      </c>
      <c r="AI26" s="105">
        <f t="shared" si="78"/>
        <v>4</v>
      </c>
      <c r="AJ26" s="106" t="s">
        <v>90</v>
      </c>
      <c r="AK26" s="107" t="s">
        <v>89</v>
      </c>
      <c r="AL26" s="108" t="s">
        <v>90</v>
      </c>
      <c r="AM26" s="109">
        <f t="shared" si="79"/>
        <v>0</v>
      </c>
      <c r="AN26" s="172" t="s">
        <v>90</v>
      </c>
      <c r="AO26" s="111">
        <v>-2</v>
      </c>
      <c r="AP26" s="112">
        <v>38</v>
      </c>
      <c r="AQ26" s="111">
        <f t="shared" si="81"/>
        <v>4</v>
      </c>
      <c r="AR26" s="110">
        <v>0.5</v>
      </c>
      <c r="AS26" s="111">
        <f t="shared" si="82"/>
        <v>-2</v>
      </c>
      <c r="AT26" s="110">
        <v>2.2000000000000002</v>
      </c>
      <c r="AU26" s="113">
        <f t="shared" si="83"/>
        <v>0</v>
      </c>
      <c r="AV26" s="186">
        <v>9.8000000000000007</v>
      </c>
      <c r="AW26" s="105">
        <f t="shared" si="84"/>
        <v>2</v>
      </c>
      <c r="AX26" s="105" t="s">
        <v>89</v>
      </c>
      <c r="AY26" s="105">
        <f t="shared" si="85"/>
        <v>4</v>
      </c>
      <c r="AZ26" s="105" t="s">
        <v>89</v>
      </c>
      <c r="BA26" s="105">
        <f t="shared" si="86"/>
        <v>0.5</v>
      </c>
      <c r="BB26" s="105" t="s">
        <v>89</v>
      </c>
      <c r="BC26" s="105">
        <f t="shared" si="87"/>
        <v>0.5</v>
      </c>
      <c r="BD26" s="105" t="s">
        <v>89</v>
      </c>
      <c r="BE26" s="105">
        <f t="shared" si="88"/>
        <v>0.5</v>
      </c>
      <c r="BF26" s="105" t="s">
        <v>89</v>
      </c>
      <c r="BG26" s="105">
        <f t="shared" si="89"/>
        <v>0.5</v>
      </c>
      <c r="BH26" s="105" t="s">
        <v>89</v>
      </c>
      <c r="BI26" s="105">
        <f t="shared" si="90"/>
        <v>0.5</v>
      </c>
      <c r="BJ26" s="105" t="s">
        <v>89</v>
      </c>
      <c r="BK26" s="105">
        <f t="shared" si="91"/>
        <v>4</v>
      </c>
      <c r="BL26" s="105" t="s">
        <v>90</v>
      </c>
      <c r="BM26" s="105">
        <f t="shared" si="92"/>
        <v>0</v>
      </c>
      <c r="BN26" s="105" t="s">
        <v>91</v>
      </c>
      <c r="BO26" s="105">
        <f t="shared" si="93"/>
        <v>1</v>
      </c>
      <c r="BP26" s="105" t="s">
        <v>90</v>
      </c>
      <c r="BQ26" s="107">
        <f t="shared" si="94"/>
        <v>0</v>
      </c>
      <c r="BR26" s="114">
        <v>1773</v>
      </c>
      <c r="BS26" s="115">
        <v>1450</v>
      </c>
      <c r="BT26" s="116">
        <f t="shared" si="95"/>
        <v>-2</v>
      </c>
      <c r="BU26" s="117" t="s">
        <v>90</v>
      </c>
      <c r="BV26" s="117">
        <f t="shared" si="96"/>
        <v>0</v>
      </c>
      <c r="BW26" s="117" t="s">
        <v>90</v>
      </c>
      <c r="BX26" s="117">
        <f t="shared" si="97"/>
        <v>0</v>
      </c>
      <c r="BY26" s="117" t="s">
        <v>91</v>
      </c>
      <c r="BZ26" s="117">
        <f t="shared" si="98"/>
        <v>2</v>
      </c>
      <c r="CA26" s="117" t="s">
        <v>90</v>
      </c>
      <c r="CB26" s="117">
        <f t="shared" si="99"/>
        <v>0</v>
      </c>
      <c r="CC26" s="117" t="s">
        <v>91</v>
      </c>
      <c r="CD26" s="117">
        <f t="shared" si="100"/>
        <v>0.5</v>
      </c>
      <c r="CE26" s="117" t="s">
        <v>90</v>
      </c>
      <c r="CF26" s="117">
        <f t="shared" si="101"/>
        <v>0</v>
      </c>
      <c r="CG26" s="118">
        <v>277.13</v>
      </c>
      <c r="CH26" s="119">
        <v>192.66999999999999</v>
      </c>
      <c r="CI26" s="120">
        <f t="shared" si="102"/>
        <v>-2</v>
      </c>
      <c r="CJ26" s="121">
        <v>72154</v>
      </c>
      <c r="CK26" s="121">
        <v>76951.550000000003</v>
      </c>
      <c r="CL26" s="122">
        <f t="shared" si="103"/>
        <v>4</v>
      </c>
      <c r="CM26" s="123" t="s">
        <v>90</v>
      </c>
      <c r="CN26" s="123">
        <f t="shared" si="104"/>
        <v>0</v>
      </c>
      <c r="CO26" s="123" t="s">
        <v>91</v>
      </c>
      <c r="CP26" s="123">
        <f>IF(CO24="+",4,0)</f>
        <v>4</v>
      </c>
      <c r="CQ26" s="123" t="s">
        <v>90</v>
      </c>
      <c r="CR26" s="123">
        <f t="shared" si="106"/>
        <v>0</v>
      </c>
      <c r="CS26" s="123" t="s">
        <v>90</v>
      </c>
      <c r="CT26" s="124">
        <f t="shared" si="107"/>
        <v>0</v>
      </c>
      <c r="CU26" s="121">
        <v>84.563999999999993</v>
      </c>
      <c r="CV26" s="121">
        <v>245.03</v>
      </c>
      <c r="CW26" s="125">
        <f t="shared" si="108"/>
        <v>6</v>
      </c>
      <c r="CX26" s="126">
        <v>119.09999999999999</v>
      </c>
      <c r="CY26" s="127">
        <f t="shared" si="109"/>
        <v>6</v>
      </c>
      <c r="CZ26" s="148">
        <v>814434</v>
      </c>
      <c r="DA26" s="128">
        <v>978638</v>
      </c>
      <c r="DB26" s="127">
        <f t="shared" si="110"/>
        <v>6</v>
      </c>
      <c r="DC26" s="127">
        <v>-2</v>
      </c>
      <c r="DD26" s="105" t="s">
        <v>89</v>
      </c>
      <c r="DE26" s="129">
        <f t="shared" si="111"/>
        <v>4</v>
      </c>
      <c r="DF26" s="157">
        <v>82.200000000000003</v>
      </c>
      <c r="DG26" s="131">
        <f t="shared" si="112"/>
        <v>4</v>
      </c>
      <c r="DH26" s="117" t="s">
        <v>57</v>
      </c>
      <c r="DI26" s="132">
        <f t="shared" si="113"/>
        <v>0</v>
      </c>
      <c r="DJ26" s="133" t="s">
        <v>89</v>
      </c>
      <c r="DK26" s="134">
        <f t="shared" si="114"/>
        <v>4</v>
      </c>
      <c r="DL26" s="133" t="s">
        <v>89</v>
      </c>
      <c r="DM26" s="134">
        <f t="shared" si="115"/>
        <v>4</v>
      </c>
      <c r="DN26" s="170" t="s">
        <v>90</v>
      </c>
      <c r="DO26" s="170">
        <f t="shared" si="116"/>
        <v>0</v>
      </c>
      <c r="DP26" s="170" t="s">
        <v>90</v>
      </c>
      <c r="DQ26" s="170">
        <f t="shared" si="117"/>
        <v>0</v>
      </c>
      <c r="DR26" s="193">
        <f>(62.5+68.3+65.9)/3</f>
        <v>65.566666666666677</v>
      </c>
      <c r="DS26" s="139">
        <f t="shared" si="118"/>
        <v>4</v>
      </c>
      <c r="DT26" s="150">
        <v>66.700000000000003</v>
      </c>
      <c r="DU26" s="139">
        <f t="shared" si="119"/>
        <v>4</v>
      </c>
      <c r="DV26" s="150">
        <v>0</v>
      </c>
      <c r="DW26" s="139">
        <f t="shared" si="120"/>
        <v>-2</v>
      </c>
      <c r="DX26" s="150">
        <v>0</v>
      </c>
      <c r="DY26" s="139">
        <f t="shared" si="121"/>
        <v>-2</v>
      </c>
      <c r="DZ26" s="142">
        <f t="shared" si="122"/>
        <v>88</v>
      </c>
      <c r="EA26" s="194">
        <f t="shared" si="123"/>
        <v>23</v>
      </c>
    </row>
    <row r="27" s="195" customFormat="1" ht="15">
      <c r="A27" s="151" t="s">
        <v>114</v>
      </c>
      <c r="B27" s="105" t="s">
        <v>89</v>
      </c>
      <c r="C27" s="152">
        <f t="shared" si="62"/>
        <v>4</v>
      </c>
      <c r="D27" s="105" t="s">
        <v>89</v>
      </c>
      <c r="E27" s="152">
        <f t="shared" si="63"/>
        <v>4</v>
      </c>
      <c r="F27" s="152" t="s">
        <v>91</v>
      </c>
      <c r="G27" s="152">
        <f t="shared" si="64"/>
        <v>0.5</v>
      </c>
      <c r="H27" s="152" t="s">
        <v>90</v>
      </c>
      <c r="I27" s="152">
        <f t="shared" si="65"/>
        <v>0</v>
      </c>
      <c r="J27" s="152" t="s">
        <v>90</v>
      </c>
      <c r="K27" s="152">
        <f t="shared" si="66"/>
        <v>0</v>
      </c>
      <c r="L27" s="152" t="s">
        <v>90</v>
      </c>
      <c r="M27" s="152">
        <f t="shared" si="67"/>
        <v>0</v>
      </c>
      <c r="N27" s="105" t="s">
        <v>89</v>
      </c>
      <c r="O27" s="152">
        <f t="shared" si="68"/>
        <v>4</v>
      </c>
      <c r="P27" s="105" t="s">
        <v>89</v>
      </c>
      <c r="Q27" s="152">
        <f t="shared" si="69"/>
        <v>0.5</v>
      </c>
      <c r="R27" s="105" t="s">
        <v>57</v>
      </c>
      <c r="S27" s="152">
        <f t="shared" si="70"/>
        <v>0</v>
      </c>
      <c r="T27" s="105" t="s">
        <v>89</v>
      </c>
      <c r="U27" s="152">
        <f t="shared" si="71"/>
        <v>0.5</v>
      </c>
      <c r="V27" s="105" t="s">
        <v>89</v>
      </c>
      <c r="W27" s="152">
        <f t="shared" si="72"/>
        <v>0.5</v>
      </c>
      <c r="X27" s="105" t="s">
        <v>89</v>
      </c>
      <c r="Y27" s="152">
        <f t="shared" si="73"/>
        <v>4</v>
      </c>
      <c r="Z27" s="152" t="s">
        <v>91</v>
      </c>
      <c r="AA27" s="152">
        <f t="shared" si="74"/>
        <v>0.5</v>
      </c>
      <c r="AB27" s="105" t="s">
        <v>89</v>
      </c>
      <c r="AC27" s="152">
        <f t="shared" si="75"/>
        <v>4</v>
      </c>
      <c r="AD27" s="105" t="s">
        <v>89</v>
      </c>
      <c r="AE27" s="152">
        <f t="shared" si="76"/>
        <v>4</v>
      </c>
      <c r="AF27" s="152">
        <v>0</v>
      </c>
      <c r="AG27" s="152">
        <f t="shared" si="77"/>
        <v>0</v>
      </c>
      <c r="AH27" s="105" t="s">
        <v>89</v>
      </c>
      <c r="AI27" s="152">
        <f t="shared" si="78"/>
        <v>4</v>
      </c>
      <c r="AJ27" s="105" t="s">
        <v>90</v>
      </c>
      <c r="AK27" s="107" t="s">
        <v>89</v>
      </c>
      <c r="AL27" s="108" t="s">
        <v>90</v>
      </c>
      <c r="AM27" s="109">
        <f t="shared" si="79"/>
        <v>0</v>
      </c>
      <c r="AN27" s="110">
        <v>87.599999999999994</v>
      </c>
      <c r="AO27" s="111">
        <f t="shared" si="80"/>
        <v>4</v>
      </c>
      <c r="AP27" s="112">
        <v>63</v>
      </c>
      <c r="AQ27" s="153">
        <f t="shared" si="81"/>
        <v>4</v>
      </c>
      <c r="AR27" s="110">
        <v>1</v>
      </c>
      <c r="AS27" s="153">
        <f t="shared" si="82"/>
        <v>0</v>
      </c>
      <c r="AT27" s="110">
        <v>1.7</v>
      </c>
      <c r="AU27" s="154">
        <f t="shared" si="83"/>
        <v>0</v>
      </c>
      <c r="AV27" s="145">
        <v>5.7000000000000002</v>
      </c>
      <c r="AW27" s="152">
        <f t="shared" si="84"/>
        <v>2</v>
      </c>
      <c r="AX27" s="105" t="s">
        <v>89</v>
      </c>
      <c r="AY27" s="152">
        <f t="shared" si="85"/>
        <v>4</v>
      </c>
      <c r="AZ27" s="105" t="s">
        <v>89</v>
      </c>
      <c r="BA27" s="152">
        <f t="shared" si="86"/>
        <v>0.5</v>
      </c>
      <c r="BB27" s="105" t="s">
        <v>89</v>
      </c>
      <c r="BC27" s="152">
        <f t="shared" si="87"/>
        <v>0.5</v>
      </c>
      <c r="BD27" s="105" t="s">
        <v>89</v>
      </c>
      <c r="BE27" s="152">
        <f t="shared" si="88"/>
        <v>0.5</v>
      </c>
      <c r="BF27" s="105" t="s">
        <v>89</v>
      </c>
      <c r="BG27" s="152">
        <f t="shared" si="89"/>
        <v>0.5</v>
      </c>
      <c r="BH27" s="105" t="s">
        <v>89</v>
      </c>
      <c r="BI27" s="152">
        <f t="shared" si="90"/>
        <v>0.5</v>
      </c>
      <c r="BJ27" s="105" t="s">
        <v>89</v>
      </c>
      <c r="BK27" s="152">
        <f t="shared" si="91"/>
        <v>4</v>
      </c>
      <c r="BL27" s="152" t="s">
        <v>90</v>
      </c>
      <c r="BM27" s="152">
        <f t="shared" si="92"/>
        <v>0</v>
      </c>
      <c r="BN27" s="152" t="s">
        <v>90</v>
      </c>
      <c r="BO27" s="152">
        <f t="shared" si="93"/>
        <v>0</v>
      </c>
      <c r="BP27" s="152" t="s">
        <v>90</v>
      </c>
      <c r="BQ27" s="155">
        <f t="shared" si="94"/>
        <v>0</v>
      </c>
      <c r="BR27" s="114">
        <v>472.5</v>
      </c>
      <c r="BS27" s="115">
        <v>406</v>
      </c>
      <c r="BT27" s="116">
        <f t="shared" si="95"/>
        <v>-2</v>
      </c>
      <c r="BU27" s="117" t="s">
        <v>90</v>
      </c>
      <c r="BV27" s="117">
        <f t="shared" si="96"/>
        <v>0</v>
      </c>
      <c r="BW27" s="117" t="s">
        <v>90</v>
      </c>
      <c r="BX27" s="117">
        <f t="shared" si="97"/>
        <v>0</v>
      </c>
      <c r="BY27" s="117" t="s">
        <v>91</v>
      </c>
      <c r="BZ27" s="117">
        <f t="shared" si="98"/>
        <v>2</v>
      </c>
      <c r="CA27" s="117" t="s">
        <v>90</v>
      </c>
      <c r="CB27" s="117">
        <f t="shared" si="99"/>
        <v>0</v>
      </c>
      <c r="CC27" s="6" t="s">
        <v>90</v>
      </c>
      <c r="CD27" s="117">
        <f t="shared" si="100"/>
        <v>0</v>
      </c>
      <c r="CE27" s="6" t="s">
        <v>90</v>
      </c>
      <c r="CF27" s="117">
        <f t="shared" si="101"/>
        <v>0</v>
      </c>
      <c r="CG27" s="118">
        <v>277.13</v>
      </c>
      <c r="CH27" s="119">
        <v>166.36000000000001</v>
      </c>
      <c r="CI27" s="106">
        <f t="shared" si="102"/>
        <v>-2</v>
      </c>
      <c r="CJ27" s="121">
        <v>151571</v>
      </c>
      <c r="CK27" s="121">
        <v>175571.04999999999</v>
      </c>
      <c r="CL27" s="196">
        <f t="shared" si="103"/>
        <v>4</v>
      </c>
      <c r="CM27" s="123" t="s">
        <v>90</v>
      </c>
      <c r="CN27" s="123">
        <f t="shared" si="104"/>
        <v>0</v>
      </c>
      <c r="CO27" s="123" t="s">
        <v>90</v>
      </c>
      <c r="CP27" s="123">
        <f>IF(CO30="+",4,0)</f>
        <v>0</v>
      </c>
      <c r="CQ27" s="197" t="s">
        <v>91</v>
      </c>
      <c r="CR27" s="123">
        <f t="shared" si="106"/>
        <v>0</v>
      </c>
      <c r="CS27" s="123" t="s">
        <v>90</v>
      </c>
      <c r="CT27" s="124">
        <f t="shared" si="107"/>
        <v>0</v>
      </c>
      <c r="CU27" s="121">
        <v>2736.9630000000002</v>
      </c>
      <c r="CV27" s="121">
        <v>519.78999999999996</v>
      </c>
      <c r="CW27" s="198">
        <f t="shared" si="108"/>
        <v>-2</v>
      </c>
      <c r="CX27" s="126">
        <v>116</v>
      </c>
      <c r="CY27" s="127">
        <f t="shared" si="109"/>
        <v>6</v>
      </c>
      <c r="CZ27" s="128">
        <v>198966</v>
      </c>
      <c r="DA27" s="128">
        <v>233685</v>
      </c>
      <c r="DB27" s="127">
        <f t="shared" si="110"/>
        <v>6</v>
      </c>
      <c r="DC27" s="199">
        <v>4</v>
      </c>
      <c r="DD27" s="105" t="s">
        <v>89</v>
      </c>
      <c r="DE27" s="156">
        <f t="shared" si="111"/>
        <v>4</v>
      </c>
      <c r="DF27" s="157">
        <v>80.599999999999994</v>
      </c>
      <c r="DG27" s="189">
        <f t="shared" si="112"/>
        <v>4</v>
      </c>
      <c r="DH27" s="117" t="s">
        <v>57</v>
      </c>
      <c r="DI27" s="132">
        <f t="shared" si="113"/>
        <v>0</v>
      </c>
      <c r="DJ27" s="133" t="s">
        <v>89</v>
      </c>
      <c r="DK27" s="158">
        <f t="shared" si="114"/>
        <v>4</v>
      </c>
      <c r="DL27" s="133" t="s">
        <v>89</v>
      </c>
      <c r="DM27" s="158">
        <f t="shared" si="115"/>
        <v>4</v>
      </c>
      <c r="DN27" s="170" t="s">
        <v>90</v>
      </c>
      <c r="DO27" s="170">
        <f t="shared" si="116"/>
        <v>0</v>
      </c>
      <c r="DP27" s="170" t="s">
        <v>90</v>
      </c>
      <c r="DQ27" s="170">
        <f t="shared" si="117"/>
        <v>0</v>
      </c>
      <c r="DR27" s="193">
        <f>(42.9+46.1+46.1)/3</f>
        <v>45.033333333333331</v>
      </c>
      <c r="DS27" s="139">
        <f t="shared" si="118"/>
        <v>2</v>
      </c>
      <c r="DT27" s="150">
        <v>66.700000000000003</v>
      </c>
      <c r="DU27" s="139">
        <f t="shared" si="119"/>
        <v>4</v>
      </c>
      <c r="DV27" s="150">
        <v>0</v>
      </c>
      <c r="DW27" s="139">
        <f t="shared" si="120"/>
        <v>-2</v>
      </c>
      <c r="DX27" s="150">
        <v>0</v>
      </c>
      <c r="DY27" s="139">
        <f t="shared" si="121"/>
        <v>-2</v>
      </c>
      <c r="DZ27" s="142">
        <f t="shared" si="122"/>
        <v>85</v>
      </c>
      <c r="EA27" s="194">
        <f t="shared" si="123"/>
        <v>24</v>
      </c>
    </row>
    <row r="28" s="200" customFormat="1" ht="15.6" customHeight="1">
      <c r="A28" s="201" t="s">
        <v>115</v>
      </c>
      <c r="B28" s="105" t="s">
        <v>89</v>
      </c>
      <c r="C28" s="139">
        <f t="shared" si="62"/>
        <v>4</v>
      </c>
      <c r="D28" s="105" t="s">
        <v>89</v>
      </c>
      <c r="E28" s="139">
        <f t="shared" si="63"/>
        <v>4</v>
      </c>
      <c r="F28" s="139" t="s">
        <v>90</v>
      </c>
      <c r="G28" s="139">
        <f t="shared" si="64"/>
        <v>0</v>
      </c>
      <c r="H28" s="139" t="s">
        <v>91</v>
      </c>
      <c r="I28" s="139">
        <f t="shared" si="65"/>
        <v>1</v>
      </c>
      <c r="J28" s="139" t="s">
        <v>91</v>
      </c>
      <c r="K28" s="139">
        <f t="shared" si="66"/>
        <v>0.5</v>
      </c>
      <c r="L28" s="139" t="s">
        <v>90</v>
      </c>
      <c r="M28" s="202">
        <f t="shared" si="67"/>
        <v>0</v>
      </c>
      <c r="N28" s="105" t="s">
        <v>89</v>
      </c>
      <c r="O28" s="109">
        <f t="shared" si="68"/>
        <v>4</v>
      </c>
      <c r="P28" s="105" t="s">
        <v>89</v>
      </c>
      <c r="Q28" s="203">
        <f t="shared" si="69"/>
        <v>0.5</v>
      </c>
      <c r="R28" s="204" t="s">
        <v>89</v>
      </c>
      <c r="S28" s="202">
        <f t="shared" si="70"/>
        <v>0.5</v>
      </c>
      <c r="T28" s="105" t="s">
        <v>89</v>
      </c>
      <c r="U28" s="109">
        <f t="shared" si="71"/>
        <v>0.5</v>
      </c>
      <c r="V28" s="105" t="s">
        <v>89</v>
      </c>
      <c r="W28" s="109">
        <f t="shared" si="72"/>
        <v>0.5</v>
      </c>
      <c r="X28" s="105" t="s">
        <v>89</v>
      </c>
      <c r="Y28" s="203">
        <f t="shared" si="73"/>
        <v>4</v>
      </c>
      <c r="Z28" s="139" t="s">
        <v>91</v>
      </c>
      <c r="AA28" s="202">
        <f t="shared" si="74"/>
        <v>0.5</v>
      </c>
      <c r="AB28" s="105" t="s">
        <v>89</v>
      </c>
      <c r="AC28" s="203">
        <f t="shared" si="75"/>
        <v>4</v>
      </c>
      <c r="AD28" s="105" t="s">
        <v>89</v>
      </c>
      <c r="AE28" s="139">
        <f t="shared" si="76"/>
        <v>4</v>
      </c>
      <c r="AF28" s="139">
        <v>0</v>
      </c>
      <c r="AG28" s="202">
        <f t="shared" si="77"/>
        <v>0</v>
      </c>
      <c r="AH28" s="105" t="s">
        <v>89</v>
      </c>
      <c r="AI28" s="109">
        <f t="shared" si="78"/>
        <v>4</v>
      </c>
      <c r="AJ28" s="105" t="s">
        <v>57</v>
      </c>
      <c r="AK28" s="107" t="s">
        <v>90</v>
      </c>
      <c r="AL28" s="108" t="s">
        <v>90</v>
      </c>
      <c r="AM28" s="139">
        <f t="shared" si="79"/>
        <v>4</v>
      </c>
      <c r="AN28" s="110">
        <v>65.900000000000006</v>
      </c>
      <c r="AO28" s="111">
        <f t="shared" si="80"/>
        <v>4</v>
      </c>
      <c r="AP28" s="112">
        <v>65.799999999999997</v>
      </c>
      <c r="AQ28" s="205">
        <f t="shared" si="81"/>
        <v>4</v>
      </c>
      <c r="AR28" s="172" t="s">
        <v>90</v>
      </c>
      <c r="AS28" s="205">
        <v>-2</v>
      </c>
      <c r="AT28" s="110">
        <v>2.2999999999999998</v>
      </c>
      <c r="AU28" s="206">
        <f t="shared" si="83"/>
        <v>0</v>
      </c>
      <c r="AV28" s="145">
        <v>10.300000000000001</v>
      </c>
      <c r="AW28" s="109">
        <f t="shared" si="84"/>
        <v>0</v>
      </c>
      <c r="AX28" s="105" t="s">
        <v>89</v>
      </c>
      <c r="AY28" s="109">
        <f t="shared" si="85"/>
        <v>4</v>
      </c>
      <c r="AZ28" s="105" t="s">
        <v>89</v>
      </c>
      <c r="BA28" s="109">
        <f t="shared" si="86"/>
        <v>0.5</v>
      </c>
      <c r="BB28" s="105" t="s">
        <v>89</v>
      </c>
      <c r="BC28" s="109">
        <f t="shared" si="87"/>
        <v>0.5</v>
      </c>
      <c r="BD28" s="105" t="s">
        <v>89</v>
      </c>
      <c r="BE28" s="109">
        <f t="shared" si="88"/>
        <v>0.5</v>
      </c>
      <c r="BF28" s="105" t="s">
        <v>89</v>
      </c>
      <c r="BG28" s="203">
        <f t="shared" si="89"/>
        <v>0.5</v>
      </c>
      <c r="BH28" s="207" t="s">
        <v>89</v>
      </c>
      <c r="BI28" s="202">
        <f t="shared" si="90"/>
        <v>0.5</v>
      </c>
      <c r="BJ28" s="105" t="s">
        <v>89</v>
      </c>
      <c r="BK28" s="203">
        <f t="shared" si="91"/>
        <v>4</v>
      </c>
      <c r="BL28" s="139" t="s">
        <v>91</v>
      </c>
      <c r="BM28" s="139">
        <f t="shared" si="92"/>
        <v>0.5</v>
      </c>
      <c r="BN28" s="139" t="s">
        <v>90</v>
      </c>
      <c r="BO28" s="139">
        <f t="shared" si="93"/>
        <v>0</v>
      </c>
      <c r="BP28" s="139" t="s">
        <v>90</v>
      </c>
      <c r="BQ28" s="202">
        <f t="shared" si="94"/>
        <v>0</v>
      </c>
      <c r="BR28" s="114">
        <v>1094.1399999999999</v>
      </c>
      <c r="BS28" s="115">
        <v>1018.4399999999999</v>
      </c>
      <c r="BT28" s="116">
        <f t="shared" si="95"/>
        <v>-2</v>
      </c>
      <c r="BU28" s="117" t="s">
        <v>90</v>
      </c>
      <c r="BV28" s="117">
        <f t="shared" si="96"/>
        <v>0</v>
      </c>
      <c r="BW28" s="117" t="s">
        <v>90</v>
      </c>
      <c r="BX28" s="117">
        <f t="shared" si="97"/>
        <v>0</v>
      </c>
      <c r="BY28" s="117" t="s">
        <v>90</v>
      </c>
      <c r="BZ28" s="117">
        <f t="shared" si="98"/>
        <v>0</v>
      </c>
      <c r="CA28" s="117" t="s">
        <v>91</v>
      </c>
      <c r="CB28" s="117">
        <f t="shared" si="99"/>
        <v>0</v>
      </c>
      <c r="CC28" s="117" t="s">
        <v>90</v>
      </c>
      <c r="CD28" s="117">
        <f t="shared" si="100"/>
        <v>0</v>
      </c>
      <c r="CE28" s="117" t="s">
        <v>90</v>
      </c>
      <c r="CF28" s="117">
        <f t="shared" si="101"/>
        <v>0</v>
      </c>
      <c r="CG28" s="118">
        <v>277.13</v>
      </c>
      <c r="CH28" s="119">
        <v>253.72999999999999</v>
      </c>
      <c r="CI28" s="139">
        <f t="shared" si="102"/>
        <v>-2</v>
      </c>
      <c r="CJ28" s="121">
        <v>90101</v>
      </c>
      <c r="CK28" s="121">
        <v>85277.199999999997</v>
      </c>
      <c r="CL28" s="123">
        <f t="shared" si="103"/>
        <v>-2</v>
      </c>
      <c r="CM28" s="123" t="s">
        <v>90</v>
      </c>
      <c r="CN28" s="123">
        <f t="shared" si="104"/>
        <v>0</v>
      </c>
      <c r="CO28" s="123" t="s">
        <v>90</v>
      </c>
      <c r="CP28" s="123">
        <f>IF(CO29="+",4,0)</f>
        <v>0</v>
      </c>
      <c r="CQ28" s="123" t="s">
        <v>91</v>
      </c>
      <c r="CR28" s="123">
        <f t="shared" si="106"/>
        <v>0</v>
      </c>
      <c r="CS28" s="123" t="s">
        <v>90</v>
      </c>
      <c r="CT28" s="123">
        <f t="shared" si="107"/>
        <v>0</v>
      </c>
      <c r="CU28" s="146">
        <v>4380.5619999999999</v>
      </c>
      <c r="CV28" s="121">
        <v>2876.8600000000001</v>
      </c>
      <c r="CW28" s="208">
        <f t="shared" si="108"/>
        <v>-2</v>
      </c>
      <c r="CX28" s="147">
        <v>117.5</v>
      </c>
      <c r="CY28" s="127">
        <f t="shared" si="109"/>
        <v>6</v>
      </c>
      <c r="CZ28" s="128">
        <v>256386</v>
      </c>
      <c r="DA28" s="128">
        <v>302404</v>
      </c>
      <c r="DB28" s="209">
        <f t="shared" si="110"/>
        <v>6</v>
      </c>
      <c r="DC28" s="139">
        <v>-2</v>
      </c>
      <c r="DD28" s="210" t="s">
        <v>89</v>
      </c>
      <c r="DE28" s="132">
        <f t="shared" si="111"/>
        <v>4</v>
      </c>
      <c r="DF28" s="157">
        <v>82.5</v>
      </c>
      <c r="DG28" s="211">
        <f t="shared" si="112"/>
        <v>4</v>
      </c>
      <c r="DH28" s="117" t="s">
        <v>57</v>
      </c>
      <c r="DI28" s="132">
        <f t="shared" si="113"/>
        <v>0</v>
      </c>
      <c r="DJ28" s="133" t="s">
        <v>89</v>
      </c>
      <c r="DK28" s="170">
        <f t="shared" si="114"/>
        <v>4</v>
      </c>
      <c r="DL28" s="133" t="s">
        <v>89</v>
      </c>
      <c r="DM28" s="170">
        <f t="shared" si="115"/>
        <v>4</v>
      </c>
      <c r="DN28" s="212" t="s">
        <v>90</v>
      </c>
      <c r="DO28" s="170">
        <f t="shared" si="116"/>
        <v>0</v>
      </c>
      <c r="DP28" s="212" t="s">
        <v>91</v>
      </c>
      <c r="DQ28" s="170">
        <f t="shared" si="117"/>
        <v>0</v>
      </c>
      <c r="DR28" s="137">
        <f>(62.1+50+60)/3</f>
        <v>57.366666666666667</v>
      </c>
      <c r="DS28" s="139">
        <f t="shared" si="118"/>
        <v>4</v>
      </c>
      <c r="DT28" s="150">
        <v>50</v>
      </c>
      <c r="DU28" s="139">
        <f t="shared" si="119"/>
        <v>4</v>
      </c>
      <c r="DV28" s="150">
        <v>75</v>
      </c>
      <c r="DW28" s="139">
        <f t="shared" si="120"/>
        <v>4</v>
      </c>
      <c r="DX28" s="150">
        <v>25</v>
      </c>
      <c r="DY28" s="139">
        <f t="shared" si="121"/>
        <v>1</v>
      </c>
      <c r="DZ28" s="142">
        <f t="shared" si="122"/>
        <v>84</v>
      </c>
      <c r="EA28" s="194">
        <f t="shared" si="123"/>
        <v>25</v>
      </c>
    </row>
    <row r="29" s="1" customFormat="1" ht="15">
      <c r="A29" s="213" t="s">
        <v>116</v>
      </c>
      <c r="B29" s="105" t="s">
        <v>89</v>
      </c>
      <c r="C29" s="127">
        <f t="shared" si="62"/>
        <v>4</v>
      </c>
      <c r="D29" s="105" t="s">
        <v>89</v>
      </c>
      <c r="E29" s="127">
        <f t="shared" si="63"/>
        <v>4</v>
      </c>
      <c r="F29" s="127" t="s">
        <v>90</v>
      </c>
      <c r="G29" s="127">
        <f t="shared" si="64"/>
        <v>0</v>
      </c>
      <c r="H29" s="127" t="s">
        <v>91</v>
      </c>
      <c r="I29" s="127">
        <f t="shared" si="65"/>
        <v>1</v>
      </c>
      <c r="J29" s="127" t="s">
        <v>91</v>
      </c>
      <c r="K29" s="127">
        <f t="shared" si="66"/>
        <v>0.5</v>
      </c>
      <c r="L29" s="127" t="s">
        <v>90</v>
      </c>
      <c r="M29" s="127">
        <f t="shared" si="67"/>
        <v>0</v>
      </c>
      <c r="N29" s="106" t="s">
        <v>89</v>
      </c>
      <c r="O29" s="127">
        <f t="shared" si="68"/>
        <v>4</v>
      </c>
      <c r="P29" s="106" t="s">
        <v>89</v>
      </c>
      <c r="Q29" s="127">
        <f t="shared" si="69"/>
        <v>0.5</v>
      </c>
      <c r="R29" s="127" t="s">
        <v>89</v>
      </c>
      <c r="S29" s="127">
        <f t="shared" si="70"/>
        <v>0.5</v>
      </c>
      <c r="T29" s="106" t="s">
        <v>89</v>
      </c>
      <c r="U29" s="127">
        <f t="shared" si="71"/>
        <v>0.5</v>
      </c>
      <c r="V29" s="106" t="s">
        <v>89</v>
      </c>
      <c r="W29" s="127">
        <f t="shared" si="72"/>
        <v>0.5</v>
      </c>
      <c r="X29" s="106" t="s">
        <v>89</v>
      </c>
      <c r="Y29" s="127">
        <f t="shared" si="73"/>
        <v>4</v>
      </c>
      <c r="Z29" s="127" t="s">
        <v>91</v>
      </c>
      <c r="AA29" s="127">
        <f t="shared" si="74"/>
        <v>0.5</v>
      </c>
      <c r="AB29" s="106" t="s">
        <v>89</v>
      </c>
      <c r="AC29" s="127">
        <f t="shared" si="75"/>
        <v>4</v>
      </c>
      <c r="AD29" s="105" t="s">
        <v>89</v>
      </c>
      <c r="AE29" s="127">
        <f t="shared" si="76"/>
        <v>4</v>
      </c>
      <c r="AF29" s="127">
        <v>1</v>
      </c>
      <c r="AG29" s="127">
        <f t="shared" si="77"/>
        <v>1</v>
      </c>
      <c r="AH29" s="106" t="s">
        <v>89</v>
      </c>
      <c r="AI29" s="127">
        <f t="shared" si="78"/>
        <v>4</v>
      </c>
      <c r="AJ29" s="107" t="s">
        <v>57</v>
      </c>
      <c r="AK29" s="127" t="s">
        <v>90</v>
      </c>
      <c r="AL29" s="108" t="s">
        <v>90</v>
      </c>
      <c r="AM29" s="209">
        <f t="shared" si="79"/>
        <v>4</v>
      </c>
      <c r="AN29" s="110">
        <v>55.299999999999997</v>
      </c>
      <c r="AO29" s="111">
        <f t="shared" si="80"/>
        <v>4</v>
      </c>
      <c r="AP29" s="112">
        <v>65.599999999999994</v>
      </c>
      <c r="AQ29" s="214">
        <f t="shared" si="81"/>
        <v>4</v>
      </c>
      <c r="AR29" s="110">
        <v>0.69999999999999996</v>
      </c>
      <c r="AS29" s="214">
        <f t="shared" si="82"/>
        <v>-2</v>
      </c>
      <c r="AT29" s="110">
        <v>2.2999999999999998</v>
      </c>
      <c r="AU29" s="215">
        <f t="shared" si="83"/>
        <v>0</v>
      </c>
      <c r="AV29" s="186">
        <v>13.9</v>
      </c>
      <c r="AW29" s="127">
        <f t="shared" si="84"/>
        <v>0</v>
      </c>
      <c r="AX29" s="106" t="s">
        <v>89</v>
      </c>
      <c r="AY29" s="127">
        <f t="shared" si="85"/>
        <v>4</v>
      </c>
      <c r="AZ29" s="106" t="s">
        <v>89</v>
      </c>
      <c r="BA29" s="127">
        <f t="shared" si="86"/>
        <v>0.5</v>
      </c>
      <c r="BB29" s="106" t="s">
        <v>89</v>
      </c>
      <c r="BC29" s="127">
        <f t="shared" si="87"/>
        <v>0.5</v>
      </c>
      <c r="BD29" s="106" t="s">
        <v>89</v>
      </c>
      <c r="BE29" s="127">
        <f t="shared" si="88"/>
        <v>0.5</v>
      </c>
      <c r="BF29" s="106" t="s">
        <v>89</v>
      </c>
      <c r="BG29" s="127">
        <f t="shared" si="89"/>
        <v>0.5</v>
      </c>
      <c r="BH29" s="105" t="s">
        <v>89</v>
      </c>
      <c r="BI29" s="127">
        <f t="shared" si="90"/>
        <v>0.5</v>
      </c>
      <c r="BJ29" s="106" t="s">
        <v>89</v>
      </c>
      <c r="BK29" s="127">
        <f t="shared" si="91"/>
        <v>4</v>
      </c>
      <c r="BL29" s="127" t="s">
        <v>90</v>
      </c>
      <c r="BM29" s="127">
        <f t="shared" si="92"/>
        <v>0</v>
      </c>
      <c r="BN29" s="127" t="s">
        <v>91</v>
      </c>
      <c r="BO29" s="127">
        <f t="shared" si="93"/>
        <v>1</v>
      </c>
      <c r="BP29" s="127" t="s">
        <v>90</v>
      </c>
      <c r="BQ29" s="209">
        <f t="shared" si="94"/>
        <v>0</v>
      </c>
      <c r="BR29" s="114">
        <v>1550.8999999999999</v>
      </c>
      <c r="BS29" s="115">
        <v>1227.3</v>
      </c>
      <c r="BT29" s="116">
        <f t="shared" si="95"/>
        <v>-2</v>
      </c>
      <c r="BU29" s="117" t="s">
        <v>90</v>
      </c>
      <c r="BV29" s="117">
        <f t="shared" si="96"/>
        <v>0</v>
      </c>
      <c r="BW29" s="117" t="s">
        <v>90</v>
      </c>
      <c r="BX29" s="117">
        <f t="shared" si="97"/>
        <v>0</v>
      </c>
      <c r="BY29" s="117" t="s">
        <v>90</v>
      </c>
      <c r="BZ29" s="117">
        <f t="shared" si="98"/>
        <v>0</v>
      </c>
      <c r="CA29" s="117" t="s">
        <v>91</v>
      </c>
      <c r="CB29" s="117">
        <f t="shared" si="99"/>
        <v>0</v>
      </c>
      <c r="CC29" s="6" t="s">
        <v>91</v>
      </c>
      <c r="CD29" s="117">
        <f t="shared" si="100"/>
        <v>0.5</v>
      </c>
      <c r="CE29" s="6" t="s">
        <v>90</v>
      </c>
      <c r="CF29" s="117">
        <f t="shared" si="101"/>
        <v>0</v>
      </c>
      <c r="CG29" s="118">
        <v>277.13</v>
      </c>
      <c r="CH29" s="119">
        <v>324.82999999999998</v>
      </c>
      <c r="CI29" s="106">
        <f t="shared" si="102"/>
        <v>4</v>
      </c>
      <c r="CJ29" s="121">
        <v>122744</v>
      </c>
      <c r="CK29" s="121">
        <v>176315.48000000001</v>
      </c>
      <c r="CL29" s="216">
        <f t="shared" si="103"/>
        <v>4</v>
      </c>
      <c r="CM29" s="123" t="s">
        <v>90</v>
      </c>
      <c r="CN29" s="123">
        <f t="shared" si="104"/>
        <v>0</v>
      </c>
      <c r="CO29" s="123" t="s">
        <v>90</v>
      </c>
      <c r="CP29" s="123">
        <f>IF(CO31="+",4,0)</f>
        <v>0</v>
      </c>
      <c r="CQ29" s="217" t="s">
        <v>91</v>
      </c>
      <c r="CR29" s="123">
        <f t="shared" si="106"/>
        <v>0</v>
      </c>
      <c r="CS29" s="123" t="s">
        <v>90</v>
      </c>
      <c r="CT29" s="124">
        <f t="shared" si="107"/>
        <v>0</v>
      </c>
      <c r="CU29" s="146">
        <v>2014.617</v>
      </c>
      <c r="CV29" s="121">
        <v>433.77999999999997</v>
      </c>
      <c r="CW29" s="218">
        <f t="shared" si="108"/>
        <v>-2</v>
      </c>
      <c r="CX29" s="219">
        <v>119</v>
      </c>
      <c r="CY29" s="127">
        <f t="shared" si="109"/>
        <v>6</v>
      </c>
      <c r="CZ29" s="148">
        <v>840853</v>
      </c>
      <c r="DA29" s="128">
        <v>1148693</v>
      </c>
      <c r="DB29" s="209">
        <f t="shared" si="110"/>
        <v>6</v>
      </c>
      <c r="DC29" s="139">
        <v>0</v>
      </c>
      <c r="DD29" s="106" t="s">
        <v>89</v>
      </c>
      <c r="DE29" s="129">
        <f t="shared" si="111"/>
        <v>4</v>
      </c>
      <c r="DF29" s="130">
        <v>74.400000000000006</v>
      </c>
      <c r="DG29" s="131">
        <f t="shared" si="112"/>
        <v>4</v>
      </c>
      <c r="DH29" s="117" t="s">
        <v>57</v>
      </c>
      <c r="DI29" s="132">
        <f t="shared" si="113"/>
        <v>0</v>
      </c>
      <c r="DJ29" s="133" t="s">
        <v>89</v>
      </c>
      <c r="DK29" s="134">
        <f t="shared" si="114"/>
        <v>4</v>
      </c>
      <c r="DL29" s="133" t="s">
        <v>89</v>
      </c>
      <c r="DM29" s="134">
        <f t="shared" si="115"/>
        <v>4</v>
      </c>
      <c r="DN29" s="170" t="s">
        <v>90</v>
      </c>
      <c r="DO29" s="170">
        <f t="shared" si="116"/>
        <v>0</v>
      </c>
      <c r="DP29" s="170" t="s">
        <v>90</v>
      </c>
      <c r="DQ29" s="170">
        <f t="shared" si="117"/>
        <v>0</v>
      </c>
      <c r="DR29" s="193">
        <f>(59.3+63.6+54.5)/3</f>
        <v>59.133333333333333</v>
      </c>
      <c r="DS29" s="139">
        <f t="shared" si="118"/>
        <v>4</v>
      </c>
      <c r="DT29" s="150">
        <v>0</v>
      </c>
      <c r="DU29" s="139">
        <f t="shared" si="119"/>
        <v>-4</v>
      </c>
      <c r="DV29" s="150">
        <v>0</v>
      </c>
      <c r="DW29" s="139">
        <f t="shared" si="120"/>
        <v>-2</v>
      </c>
      <c r="DX29" s="150">
        <v>0</v>
      </c>
      <c r="DY29" s="139">
        <f t="shared" si="121"/>
        <v>-2</v>
      </c>
      <c r="DZ29" s="142">
        <f t="shared" si="122"/>
        <v>83</v>
      </c>
      <c r="EA29" s="194">
        <f t="shared" si="123"/>
        <v>26</v>
      </c>
    </row>
    <row r="30" s="1" customFormat="1" ht="15">
      <c r="A30" s="104" t="s">
        <v>117</v>
      </c>
      <c r="B30" s="105" t="s">
        <v>89</v>
      </c>
      <c r="C30" s="105">
        <f t="shared" si="62"/>
        <v>4</v>
      </c>
      <c r="D30" s="105" t="s">
        <v>89</v>
      </c>
      <c r="E30" s="105">
        <f t="shared" si="63"/>
        <v>4</v>
      </c>
      <c r="F30" s="105" t="s">
        <v>91</v>
      </c>
      <c r="G30" s="105">
        <f t="shared" si="64"/>
        <v>0.5</v>
      </c>
      <c r="H30" s="105" t="s">
        <v>90</v>
      </c>
      <c r="I30" s="105">
        <f t="shared" si="65"/>
        <v>0</v>
      </c>
      <c r="J30" s="105" t="s">
        <v>91</v>
      </c>
      <c r="K30" s="105">
        <f t="shared" si="66"/>
        <v>0.5</v>
      </c>
      <c r="L30" s="105" t="s">
        <v>90</v>
      </c>
      <c r="M30" s="105">
        <f t="shared" si="67"/>
        <v>0</v>
      </c>
      <c r="N30" s="105" t="s">
        <v>89</v>
      </c>
      <c r="O30" s="105">
        <f t="shared" si="68"/>
        <v>4</v>
      </c>
      <c r="P30" s="105" t="s">
        <v>89</v>
      </c>
      <c r="Q30" s="105">
        <f t="shared" si="69"/>
        <v>0.5</v>
      </c>
      <c r="R30" s="106" t="s">
        <v>89</v>
      </c>
      <c r="S30" s="105">
        <f t="shared" si="70"/>
        <v>0.5</v>
      </c>
      <c r="T30" s="105" t="s">
        <v>89</v>
      </c>
      <c r="U30" s="105">
        <f t="shared" si="71"/>
        <v>0.5</v>
      </c>
      <c r="V30" s="105" t="s">
        <v>89</v>
      </c>
      <c r="W30" s="105">
        <f t="shared" si="72"/>
        <v>0.5</v>
      </c>
      <c r="X30" s="105" t="s">
        <v>89</v>
      </c>
      <c r="Y30" s="105">
        <f t="shared" si="73"/>
        <v>4</v>
      </c>
      <c r="Z30" s="105" t="s">
        <v>91</v>
      </c>
      <c r="AA30" s="105">
        <f t="shared" si="74"/>
        <v>0.5</v>
      </c>
      <c r="AB30" s="105" t="s">
        <v>89</v>
      </c>
      <c r="AC30" s="105">
        <f t="shared" si="75"/>
        <v>4</v>
      </c>
      <c r="AD30" s="105" t="s">
        <v>89</v>
      </c>
      <c r="AE30" s="105">
        <f t="shared" si="76"/>
        <v>4</v>
      </c>
      <c r="AF30" s="105">
        <v>4</v>
      </c>
      <c r="AG30" s="105">
        <f t="shared" si="77"/>
        <v>4</v>
      </c>
      <c r="AH30" s="105" t="s">
        <v>89</v>
      </c>
      <c r="AI30" s="105">
        <f t="shared" si="78"/>
        <v>4</v>
      </c>
      <c r="AJ30" s="107" t="s">
        <v>57</v>
      </c>
      <c r="AK30" s="105" t="s">
        <v>90</v>
      </c>
      <c r="AL30" s="108" t="s">
        <v>90</v>
      </c>
      <c r="AM30" s="107">
        <f t="shared" si="79"/>
        <v>4</v>
      </c>
      <c r="AN30" s="172" t="s">
        <v>90</v>
      </c>
      <c r="AO30" s="111">
        <v>-2</v>
      </c>
      <c r="AP30" s="112">
        <v>74.200000000000003</v>
      </c>
      <c r="AQ30" s="111">
        <f t="shared" si="81"/>
        <v>4</v>
      </c>
      <c r="AR30" s="172" t="s">
        <v>90</v>
      </c>
      <c r="AS30" s="111">
        <v>-2</v>
      </c>
      <c r="AT30" s="110">
        <v>2</v>
      </c>
      <c r="AU30" s="113">
        <f t="shared" si="83"/>
        <v>0</v>
      </c>
      <c r="AV30" s="220">
        <v>8.3000000000000007</v>
      </c>
      <c r="AW30" s="105">
        <f t="shared" si="84"/>
        <v>2</v>
      </c>
      <c r="AX30" s="105" t="s">
        <v>89</v>
      </c>
      <c r="AY30" s="105">
        <f t="shared" si="85"/>
        <v>4</v>
      </c>
      <c r="AZ30" s="105" t="s">
        <v>89</v>
      </c>
      <c r="BA30" s="105">
        <f t="shared" si="86"/>
        <v>0.5</v>
      </c>
      <c r="BB30" s="105" t="s">
        <v>89</v>
      </c>
      <c r="BC30" s="105">
        <f t="shared" si="87"/>
        <v>0.5</v>
      </c>
      <c r="BD30" s="105" t="s">
        <v>89</v>
      </c>
      <c r="BE30" s="105">
        <f t="shared" si="88"/>
        <v>0.5</v>
      </c>
      <c r="BF30" s="105" t="s">
        <v>89</v>
      </c>
      <c r="BG30" s="105">
        <f t="shared" si="89"/>
        <v>0.5</v>
      </c>
      <c r="BH30" s="106" t="s">
        <v>89</v>
      </c>
      <c r="BI30" s="105">
        <f t="shared" si="90"/>
        <v>0.5</v>
      </c>
      <c r="BJ30" s="105" t="s">
        <v>89</v>
      </c>
      <c r="BK30" s="105">
        <f t="shared" si="91"/>
        <v>4</v>
      </c>
      <c r="BL30" s="105" t="s">
        <v>91</v>
      </c>
      <c r="BM30" s="105">
        <f t="shared" si="92"/>
        <v>0.5</v>
      </c>
      <c r="BN30" s="105" t="s">
        <v>90</v>
      </c>
      <c r="BO30" s="105">
        <f t="shared" si="93"/>
        <v>0</v>
      </c>
      <c r="BP30" s="105" t="s">
        <v>90</v>
      </c>
      <c r="BQ30" s="107">
        <f t="shared" si="94"/>
        <v>0</v>
      </c>
      <c r="BR30" s="114">
        <v>1092.3</v>
      </c>
      <c r="BS30" s="115">
        <v>1056.9199999999998</v>
      </c>
      <c r="BT30" s="116">
        <f t="shared" si="95"/>
        <v>-2</v>
      </c>
      <c r="BU30" s="178" t="s">
        <v>90</v>
      </c>
      <c r="BV30" s="178">
        <f t="shared" si="96"/>
        <v>0</v>
      </c>
      <c r="BW30" s="178" t="s">
        <v>90</v>
      </c>
      <c r="BX30" s="178">
        <f t="shared" si="97"/>
        <v>0</v>
      </c>
      <c r="BY30" s="178" t="s">
        <v>90</v>
      </c>
      <c r="BZ30" s="178">
        <f t="shared" si="98"/>
        <v>0</v>
      </c>
      <c r="CA30" s="178" t="s">
        <v>91</v>
      </c>
      <c r="CB30" s="178">
        <f t="shared" si="99"/>
        <v>0</v>
      </c>
      <c r="CC30" s="117" t="s">
        <v>90</v>
      </c>
      <c r="CD30" s="117">
        <f t="shared" si="100"/>
        <v>0</v>
      </c>
      <c r="CE30" s="117" t="s">
        <v>91</v>
      </c>
      <c r="CF30" s="117">
        <f t="shared" si="101"/>
        <v>4</v>
      </c>
      <c r="CG30" s="118">
        <v>277.13</v>
      </c>
      <c r="CH30" s="119">
        <v>203.41999999999999</v>
      </c>
      <c r="CI30" s="120">
        <f t="shared" si="102"/>
        <v>-2</v>
      </c>
      <c r="CJ30" s="121">
        <v>122613</v>
      </c>
      <c r="CK30" s="121">
        <v>109572.46000000001</v>
      </c>
      <c r="CL30" s="122">
        <f t="shared" si="103"/>
        <v>-2</v>
      </c>
      <c r="CM30" s="123" t="s">
        <v>90</v>
      </c>
      <c r="CN30" s="123">
        <f t="shared" si="104"/>
        <v>0</v>
      </c>
      <c r="CO30" s="123" t="s">
        <v>90</v>
      </c>
      <c r="CP30" s="123">
        <f t="shared" ref="CP30:CP31" si="124">IF(CO27="+",4,0)</f>
        <v>0</v>
      </c>
      <c r="CQ30" s="123" t="s">
        <v>91</v>
      </c>
      <c r="CR30" s="123">
        <f t="shared" si="106"/>
        <v>0</v>
      </c>
      <c r="CS30" s="123" t="s">
        <v>90</v>
      </c>
      <c r="CT30" s="124">
        <f t="shared" si="107"/>
        <v>0</v>
      </c>
      <c r="CU30" s="146">
        <v>615.40700000000004</v>
      </c>
      <c r="CV30" s="121">
        <v>262.99000000000001</v>
      </c>
      <c r="CW30" s="125">
        <f t="shared" si="108"/>
        <v>-2</v>
      </c>
      <c r="CX30" s="147">
        <v>118.09999999999999</v>
      </c>
      <c r="CY30" s="127">
        <f t="shared" si="109"/>
        <v>6</v>
      </c>
      <c r="CZ30" s="128">
        <v>373601</v>
      </c>
      <c r="DA30" s="128">
        <v>385345</v>
      </c>
      <c r="DB30" s="209">
        <f t="shared" si="110"/>
        <v>4</v>
      </c>
      <c r="DC30" s="139">
        <v>-2</v>
      </c>
      <c r="DD30" s="210" t="s">
        <v>89</v>
      </c>
      <c r="DE30" s="183">
        <f t="shared" si="111"/>
        <v>4</v>
      </c>
      <c r="DF30" s="157">
        <v>84.700000000000003</v>
      </c>
      <c r="DG30" s="221">
        <f t="shared" si="112"/>
        <v>4</v>
      </c>
      <c r="DH30" s="117" t="s">
        <v>57</v>
      </c>
      <c r="DI30" s="132">
        <f t="shared" si="113"/>
        <v>0</v>
      </c>
      <c r="DJ30" s="133" t="s">
        <v>89</v>
      </c>
      <c r="DK30" s="222">
        <f t="shared" si="114"/>
        <v>4</v>
      </c>
      <c r="DL30" s="133" t="s">
        <v>89</v>
      </c>
      <c r="DM30" s="222">
        <f t="shared" si="115"/>
        <v>4</v>
      </c>
      <c r="DN30" s="170" t="s">
        <v>90</v>
      </c>
      <c r="DO30" s="170">
        <f t="shared" si="116"/>
        <v>0</v>
      </c>
      <c r="DP30" s="170" t="s">
        <v>90</v>
      </c>
      <c r="DQ30" s="170">
        <f t="shared" si="117"/>
        <v>0</v>
      </c>
      <c r="DR30" s="193">
        <f>(66+58.8+60.8)/3</f>
        <v>61.866666666666667</v>
      </c>
      <c r="DS30" s="139">
        <f t="shared" si="118"/>
        <v>4</v>
      </c>
      <c r="DT30" s="150">
        <v>50</v>
      </c>
      <c r="DU30" s="139">
        <f t="shared" si="119"/>
        <v>4</v>
      </c>
      <c r="DV30" s="150">
        <v>33</v>
      </c>
      <c r="DW30" s="139">
        <f t="shared" si="120"/>
        <v>1</v>
      </c>
      <c r="DX30" s="150">
        <v>25</v>
      </c>
      <c r="DY30" s="139">
        <f t="shared" si="121"/>
        <v>1</v>
      </c>
      <c r="DZ30" s="142">
        <f t="shared" si="122"/>
        <v>82.5</v>
      </c>
      <c r="EA30" s="194">
        <f t="shared" si="123"/>
        <v>27</v>
      </c>
    </row>
    <row r="31" s="1" customFormat="1" ht="15">
      <c r="A31" s="104" t="s">
        <v>118</v>
      </c>
      <c r="B31" s="105" t="s">
        <v>89</v>
      </c>
      <c r="C31" s="105">
        <f t="shared" si="62"/>
        <v>4</v>
      </c>
      <c r="D31" s="105" t="s">
        <v>89</v>
      </c>
      <c r="E31" s="105">
        <f t="shared" si="63"/>
        <v>4</v>
      </c>
      <c r="F31" s="105" t="s">
        <v>91</v>
      </c>
      <c r="G31" s="105">
        <f t="shared" si="64"/>
        <v>0.5</v>
      </c>
      <c r="H31" s="105" t="s">
        <v>90</v>
      </c>
      <c r="I31" s="105">
        <f t="shared" si="65"/>
        <v>0</v>
      </c>
      <c r="J31" s="105" t="s">
        <v>91</v>
      </c>
      <c r="K31" s="105">
        <f t="shared" si="66"/>
        <v>0.5</v>
      </c>
      <c r="L31" s="105" t="s">
        <v>90</v>
      </c>
      <c r="M31" s="105">
        <f t="shared" si="67"/>
        <v>0</v>
      </c>
      <c r="N31" s="106" t="s">
        <v>89</v>
      </c>
      <c r="O31" s="105">
        <f t="shared" si="68"/>
        <v>4</v>
      </c>
      <c r="P31" s="106" t="s">
        <v>89</v>
      </c>
      <c r="Q31" s="105">
        <f t="shared" si="69"/>
        <v>0.5</v>
      </c>
      <c r="R31" s="105" t="s">
        <v>89</v>
      </c>
      <c r="S31" s="105">
        <f t="shared" si="70"/>
        <v>0.5</v>
      </c>
      <c r="T31" s="106" t="s">
        <v>89</v>
      </c>
      <c r="U31" s="105">
        <f t="shared" si="71"/>
        <v>0.5</v>
      </c>
      <c r="V31" s="106" t="s">
        <v>89</v>
      </c>
      <c r="W31" s="105">
        <f t="shared" si="72"/>
        <v>0.5</v>
      </c>
      <c r="X31" s="106" t="s">
        <v>89</v>
      </c>
      <c r="Y31" s="105">
        <f t="shared" si="73"/>
        <v>4</v>
      </c>
      <c r="Z31" s="105" t="s">
        <v>90</v>
      </c>
      <c r="AA31" s="105">
        <f t="shared" si="74"/>
        <v>0</v>
      </c>
      <c r="AB31" s="106" t="s">
        <v>57</v>
      </c>
      <c r="AC31" s="105">
        <f t="shared" si="75"/>
        <v>0</v>
      </c>
      <c r="AD31" s="105" t="s">
        <v>89</v>
      </c>
      <c r="AE31" s="105">
        <f t="shared" si="76"/>
        <v>4</v>
      </c>
      <c r="AF31" s="105">
        <v>1</v>
      </c>
      <c r="AG31" s="105">
        <f t="shared" si="77"/>
        <v>1</v>
      </c>
      <c r="AH31" s="106" t="s">
        <v>89</v>
      </c>
      <c r="AI31" s="105">
        <f t="shared" si="78"/>
        <v>4</v>
      </c>
      <c r="AJ31" s="107" t="s">
        <v>57</v>
      </c>
      <c r="AK31" s="105" t="s">
        <v>90</v>
      </c>
      <c r="AL31" s="108" t="s">
        <v>90</v>
      </c>
      <c r="AM31" s="107">
        <f t="shared" si="79"/>
        <v>4</v>
      </c>
      <c r="AN31" s="172" t="s">
        <v>90</v>
      </c>
      <c r="AO31" s="111">
        <v>-2</v>
      </c>
      <c r="AP31" s="112">
        <v>67</v>
      </c>
      <c r="AQ31" s="111">
        <f t="shared" si="81"/>
        <v>4</v>
      </c>
      <c r="AR31" s="172" t="s">
        <v>90</v>
      </c>
      <c r="AS31" s="111">
        <v>-2</v>
      </c>
      <c r="AT31" s="110">
        <v>1.3</v>
      </c>
      <c r="AU31" s="111">
        <f t="shared" si="83"/>
        <v>0</v>
      </c>
      <c r="AV31" s="223">
        <v>8</v>
      </c>
      <c r="AW31" s="210">
        <f t="shared" si="84"/>
        <v>2</v>
      </c>
      <c r="AX31" s="106" t="s">
        <v>89</v>
      </c>
      <c r="AY31" s="105">
        <f t="shared" si="85"/>
        <v>4</v>
      </c>
      <c r="AZ31" s="106" t="s">
        <v>89</v>
      </c>
      <c r="BA31" s="105">
        <f t="shared" si="86"/>
        <v>0.5</v>
      </c>
      <c r="BB31" s="106" t="s">
        <v>89</v>
      </c>
      <c r="BC31" s="105">
        <f t="shared" si="87"/>
        <v>0.5</v>
      </c>
      <c r="BD31" s="106" t="s">
        <v>89</v>
      </c>
      <c r="BE31" s="105">
        <f t="shared" si="88"/>
        <v>0.5</v>
      </c>
      <c r="BF31" s="106" t="s">
        <v>57</v>
      </c>
      <c r="BG31" s="105">
        <f t="shared" si="89"/>
        <v>0</v>
      </c>
      <c r="BH31" s="105" t="s">
        <v>57</v>
      </c>
      <c r="BI31" s="105">
        <f t="shared" si="90"/>
        <v>0</v>
      </c>
      <c r="BJ31" s="106" t="s">
        <v>89</v>
      </c>
      <c r="BK31" s="105">
        <f t="shared" si="91"/>
        <v>4</v>
      </c>
      <c r="BL31" s="105" t="s">
        <v>91</v>
      </c>
      <c r="BM31" s="105">
        <f t="shared" si="92"/>
        <v>0.5</v>
      </c>
      <c r="BN31" s="105" t="s">
        <v>90</v>
      </c>
      <c r="BO31" s="105">
        <f t="shared" si="93"/>
        <v>0</v>
      </c>
      <c r="BP31" s="105" t="s">
        <v>90</v>
      </c>
      <c r="BQ31" s="107">
        <f t="shared" si="94"/>
        <v>0</v>
      </c>
      <c r="BR31" s="114">
        <v>203.29999999999998</v>
      </c>
      <c r="BS31" s="115">
        <v>205.29999999999998</v>
      </c>
      <c r="BT31" s="116">
        <f t="shared" si="95"/>
        <v>2</v>
      </c>
      <c r="BU31" s="117" t="s">
        <v>90</v>
      </c>
      <c r="BV31" s="117">
        <f t="shared" si="96"/>
        <v>0</v>
      </c>
      <c r="BW31" s="117" t="s">
        <v>90</v>
      </c>
      <c r="BX31" s="224">
        <f t="shared" si="97"/>
        <v>0</v>
      </c>
      <c r="BY31" s="224" t="s">
        <v>90</v>
      </c>
      <c r="BZ31" s="117">
        <f t="shared" si="98"/>
        <v>0</v>
      </c>
      <c r="CA31" s="224" t="s">
        <v>91</v>
      </c>
      <c r="CB31" s="117">
        <f t="shared" si="99"/>
        <v>0</v>
      </c>
      <c r="CC31" s="6" t="s">
        <v>90</v>
      </c>
      <c r="CD31" s="117">
        <f t="shared" si="100"/>
        <v>0</v>
      </c>
      <c r="CE31" s="6" t="s">
        <v>91</v>
      </c>
      <c r="CF31" s="117">
        <f t="shared" si="101"/>
        <v>4</v>
      </c>
      <c r="CG31" s="118">
        <v>277.13</v>
      </c>
      <c r="CH31" s="119">
        <v>195.83000000000001</v>
      </c>
      <c r="CI31" s="106">
        <f t="shared" si="102"/>
        <v>-2</v>
      </c>
      <c r="CJ31" s="121">
        <v>85556</v>
      </c>
      <c r="CK31" s="121">
        <v>118908.46000000001</v>
      </c>
      <c r="CL31" s="122">
        <f t="shared" si="103"/>
        <v>4</v>
      </c>
      <c r="CM31" s="123" t="s">
        <v>90</v>
      </c>
      <c r="CN31" s="123">
        <f t="shared" si="104"/>
        <v>0</v>
      </c>
      <c r="CO31" s="123" t="s">
        <v>90</v>
      </c>
      <c r="CP31" s="123">
        <f t="shared" si="124"/>
        <v>0</v>
      </c>
      <c r="CQ31" s="123" t="s">
        <v>91</v>
      </c>
      <c r="CR31" s="123">
        <f t="shared" si="106"/>
        <v>0</v>
      </c>
      <c r="CS31" s="123" t="s">
        <v>90</v>
      </c>
      <c r="CT31" s="124">
        <f t="shared" si="107"/>
        <v>0</v>
      </c>
      <c r="CU31" s="121">
        <v>1013.035</v>
      </c>
      <c r="CV31" s="121">
        <v>1867.4200000000001</v>
      </c>
      <c r="CW31" s="125">
        <f t="shared" si="108"/>
        <v>6</v>
      </c>
      <c r="CX31" s="225">
        <v>119.3</v>
      </c>
      <c r="CY31" s="127">
        <f t="shared" si="109"/>
        <v>6</v>
      </c>
      <c r="CZ31" s="128">
        <v>180473</v>
      </c>
      <c r="DA31" s="128">
        <v>187440</v>
      </c>
      <c r="DB31" s="209">
        <f t="shared" si="110"/>
        <v>4</v>
      </c>
      <c r="DC31" s="139">
        <v>-2</v>
      </c>
      <c r="DD31" s="106" t="s">
        <v>89</v>
      </c>
      <c r="DE31" s="183">
        <f t="shared" si="111"/>
        <v>4</v>
      </c>
      <c r="DF31" s="157">
        <v>75.700000000000003</v>
      </c>
      <c r="DG31" s="221">
        <f t="shared" si="112"/>
        <v>4</v>
      </c>
      <c r="DH31" s="117" t="s">
        <v>57</v>
      </c>
      <c r="DI31" s="132">
        <f t="shared" si="113"/>
        <v>0</v>
      </c>
      <c r="DJ31" s="133" t="s">
        <v>89</v>
      </c>
      <c r="DK31" s="222">
        <f t="shared" si="114"/>
        <v>4</v>
      </c>
      <c r="DL31" s="133" t="s">
        <v>89</v>
      </c>
      <c r="DM31" s="222">
        <f t="shared" si="115"/>
        <v>4</v>
      </c>
      <c r="DN31" s="170" t="s">
        <v>90</v>
      </c>
      <c r="DO31" s="170">
        <f t="shared" si="116"/>
        <v>0</v>
      </c>
      <c r="DP31" s="170" t="s">
        <v>90</v>
      </c>
      <c r="DQ31" s="135">
        <f t="shared" si="117"/>
        <v>0</v>
      </c>
      <c r="DR31" s="193">
        <f>(22.2+13.5+21.6)/3</f>
        <v>19.100000000000001</v>
      </c>
      <c r="DS31" s="139">
        <f t="shared" si="118"/>
        <v>-4</v>
      </c>
      <c r="DT31" s="150">
        <v>75</v>
      </c>
      <c r="DU31" s="139">
        <f t="shared" si="119"/>
        <v>4</v>
      </c>
      <c r="DV31" s="150">
        <v>12.5</v>
      </c>
      <c r="DW31" s="139">
        <f t="shared" si="120"/>
        <v>-2</v>
      </c>
      <c r="DX31" s="150">
        <v>12.5</v>
      </c>
      <c r="DY31" s="139">
        <f t="shared" si="121"/>
        <v>1</v>
      </c>
      <c r="DZ31" s="142">
        <f t="shared" si="122"/>
        <v>81</v>
      </c>
      <c r="EA31" s="194">
        <f t="shared" si="123"/>
        <v>28</v>
      </c>
    </row>
    <row r="32" s="1" customFormat="1" ht="17.25" customHeight="1">
      <c r="A32" s="104" t="s">
        <v>119</v>
      </c>
      <c r="B32" s="105" t="s">
        <v>89</v>
      </c>
      <c r="C32" s="105">
        <f t="shared" si="62"/>
        <v>4</v>
      </c>
      <c r="D32" s="105" t="s">
        <v>89</v>
      </c>
      <c r="E32" s="105">
        <f t="shared" si="63"/>
        <v>4</v>
      </c>
      <c r="F32" s="105" t="s">
        <v>91</v>
      </c>
      <c r="G32" s="105">
        <f t="shared" si="64"/>
        <v>0.5</v>
      </c>
      <c r="H32" s="105" t="s">
        <v>90</v>
      </c>
      <c r="I32" s="105">
        <f t="shared" si="65"/>
        <v>0</v>
      </c>
      <c r="J32" s="105" t="s">
        <v>90</v>
      </c>
      <c r="K32" s="105">
        <f t="shared" si="66"/>
        <v>0</v>
      </c>
      <c r="L32" s="105" t="s">
        <v>91</v>
      </c>
      <c r="M32" s="105">
        <f t="shared" si="67"/>
        <v>1</v>
      </c>
      <c r="N32" s="105" t="s">
        <v>89</v>
      </c>
      <c r="O32" s="105">
        <f t="shared" si="68"/>
        <v>4</v>
      </c>
      <c r="P32" s="105" t="s">
        <v>89</v>
      </c>
      <c r="Q32" s="105">
        <f t="shared" si="69"/>
        <v>0.5</v>
      </c>
      <c r="R32" s="106" t="s">
        <v>89</v>
      </c>
      <c r="S32" s="105">
        <f t="shared" si="70"/>
        <v>0.5</v>
      </c>
      <c r="T32" s="105" t="s">
        <v>89</v>
      </c>
      <c r="U32" s="105">
        <f t="shared" si="71"/>
        <v>0.5</v>
      </c>
      <c r="V32" s="105" t="s">
        <v>89</v>
      </c>
      <c r="W32" s="105">
        <f t="shared" si="72"/>
        <v>0.5</v>
      </c>
      <c r="X32" s="105" t="s">
        <v>89</v>
      </c>
      <c r="Y32" s="105">
        <f t="shared" si="73"/>
        <v>4</v>
      </c>
      <c r="Z32" s="105" t="s">
        <v>91</v>
      </c>
      <c r="AA32" s="105">
        <f t="shared" si="74"/>
        <v>0.5</v>
      </c>
      <c r="AB32" s="105" t="s">
        <v>89</v>
      </c>
      <c r="AC32" s="105">
        <f t="shared" si="75"/>
        <v>4</v>
      </c>
      <c r="AD32" s="105" t="s">
        <v>89</v>
      </c>
      <c r="AE32" s="105">
        <f t="shared" si="76"/>
        <v>4</v>
      </c>
      <c r="AF32" s="105">
        <v>1</v>
      </c>
      <c r="AG32" s="105">
        <f t="shared" si="77"/>
        <v>1</v>
      </c>
      <c r="AH32" s="105" t="s">
        <v>89</v>
      </c>
      <c r="AI32" s="105">
        <f t="shared" si="78"/>
        <v>4</v>
      </c>
      <c r="AJ32" s="107" t="s">
        <v>90</v>
      </c>
      <c r="AK32" s="105" t="s">
        <v>89</v>
      </c>
      <c r="AL32" s="108" t="s">
        <v>90</v>
      </c>
      <c r="AM32" s="107">
        <f t="shared" si="79"/>
        <v>0</v>
      </c>
      <c r="AN32" s="110">
        <v>7.9000000000000004</v>
      </c>
      <c r="AO32" s="111">
        <f t="shared" si="80"/>
        <v>-2</v>
      </c>
      <c r="AP32" s="112">
        <v>45.200000000000003</v>
      </c>
      <c r="AQ32" s="111">
        <f t="shared" si="81"/>
        <v>4</v>
      </c>
      <c r="AR32" s="110">
        <v>1</v>
      </c>
      <c r="AS32" s="111">
        <f t="shared" si="82"/>
        <v>0</v>
      </c>
      <c r="AT32" s="110">
        <v>1.7</v>
      </c>
      <c r="AU32" s="111">
        <f t="shared" si="83"/>
        <v>0</v>
      </c>
      <c r="AV32" s="223">
        <v>15.1</v>
      </c>
      <c r="AW32" s="210">
        <f t="shared" si="84"/>
        <v>0</v>
      </c>
      <c r="AX32" s="105" t="s">
        <v>89</v>
      </c>
      <c r="AY32" s="105">
        <f t="shared" si="85"/>
        <v>4</v>
      </c>
      <c r="AZ32" s="105" t="s">
        <v>89</v>
      </c>
      <c r="BA32" s="105">
        <f t="shared" si="86"/>
        <v>0.5</v>
      </c>
      <c r="BB32" s="105" t="s">
        <v>89</v>
      </c>
      <c r="BC32" s="105">
        <f t="shared" si="87"/>
        <v>0.5</v>
      </c>
      <c r="BD32" s="105" t="s">
        <v>89</v>
      </c>
      <c r="BE32" s="105">
        <f t="shared" si="88"/>
        <v>0.5</v>
      </c>
      <c r="BF32" s="105" t="s">
        <v>89</v>
      </c>
      <c r="BG32" s="105">
        <f t="shared" si="89"/>
        <v>0.5</v>
      </c>
      <c r="BH32" s="106" t="s">
        <v>89</v>
      </c>
      <c r="BI32" s="105">
        <f t="shared" si="90"/>
        <v>0.5</v>
      </c>
      <c r="BJ32" s="105" t="s">
        <v>89</v>
      </c>
      <c r="BK32" s="105">
        <f t="shared" si="91"/>
        <v>4</v>
      </c>
      <c r="BL32" s="105" t="s">
        <v>90</v>
      </c>
      <c r="BM32" s="105">
        <f t="shared" si="92"/>
        <v>0</v>
      </c>
      <c r="BN32" s="105" t="s">
        <v>91</v>
      </c>
      <c r="BO32" s="105">
        <f t="shared" si="93"/>
        <v>1</v>
      </c>
      <c r="BP32" s="105" t="s">
        <v>90</v>
      </c>
      <c r="BQ32" s="107">
        <f t="shared" si="94"/>
        <v>0</v>
      </c>
      <c r="BR32" s="114">
        <v>1021.4</v>
      </c>
      <c r="BS32" s="115">
        <v>715.60000000000002</v>
      </c>
      <c r="BT32" s="116">
        <f t="shared" si="95"/>
        <v>-2</v>
      </c>
      <c r="BU32" s="117" t="s">
        <v>90</v>
      </c>
      <c r="BV32" s="117">
        <f t="shared" si="96"/>
        <v>0</v>
      </c>
      <c r="BW32" s="226" t="s">
        <v>90</v>
      </c>
      <c r="BX32" s="227">
        <f t="shared" si="97"/>
        <v>0</v>
      </c>
      <c r="BY32" s="227" t="s">
        <v>91</v>
      </c>
      <c r="BZ32" s="117">
        <f t="shared" si="98"/>
        <v>2</v>
      </c>
      <c r="CA32" s="227" t="s">
        <v>90</v>
      </c>
      <c r="CB32" s="117">
        <f t="shared" si="99"/>
        <v>0</v>
      </c>
      <c r="CC32" s="117" t="s">
        <v>91</v>
      </c>
      <c r="CD32" s="117">
        <f t="shared" si="100"/>
        <v>0.5</v>
      </c>
      <c r="CE32" s="117" t="s">
        <v>90</v>
      </c>
      <c r="CF32" s="117">
        <f t="shared" si="101"/>
        <v>0</v>
      </c>
      <c r="CG32" s="118">
        <v>277.13</v>
      </c>
      <c r="CH32" s="119">
        <v>208.03</v>
      </c>
      <c r="CI32" s="120">
        <f t="shared" si="102"/>
        <v>-2</v>
      </c>
      <c r="CJ32" s="121">
        <v>217347</v>
      </c>
      <c r="CK32" s="121">
        <v>183185.28</v>
      </c>
      <c r="CL32" s="122">
        <f t="shared" si="103"/>
        <v>-2</v>
      </c>
      <c r="CM32" s="123" t="s">
        <v>90</v>
      </c>
      <c r="CN32" s="123">
        <f t="shared" si="104"/>
        <v>0</v>
      </c>
      <c r="CO32" s="123" t="s">
        <v>90</v>
      </c>
      <c r="CP32" s="123">
        <f>IF(CO33="+",4,0)</f>
        <v>0</v>
      </c>
      <c r="CQ32" s="123" t="s">
        <v>91</v>
      </c>
      <c r="CR32" s="123">
        <f t="shared" si="106"/>
        <v>0</v>
      </c>
      <c r="CS32" s="123" t="s">
        <v>90</v>
      </c>
      <c r="CT32" s="124">
        <f t="shared" si="107"/>
        <v>0</v>
      </c>
      <c r="CU32" s="121">
        <v>1147.817</v>
      </c>
      <c r="CV32" s="121">
        <v>450.48000000000002</v>
      </c>
      <c r="CW32" s="125">
        <f t="shared" si="108"/>
        <v>-2</v>
      </c>
      <c r="CX32" s="126">
        <v>119</v>
      </c>
      <c r="CY32" s="127">
        <f t="shared" si="109"/>
        <v>6</v>
      </c>
      <c r="CZ32" s="128">
        <v>262247</v>
      </c>
      <c r="DA32" s="128">
        <v>304970</v>
      </c>
      <c r="DB32" s="209">
        <f t="shared" si="110"/>
        <v>6</v>
      </c>
      <c r="DC32" s="139">
        <v>-2</v>
      </c>
      <c r="DD32" s="210" t="s">
        <v>89</v>
      </c>
      <c r="DE32" s="183">
        <f t="shared" si="111"/>
        <v>4</v>
      </c>
      <c r="DF32" s="157">
        <v>91.099999999999994</v>
      </c>
      <c r="DG32" s="221">
        <f t="shared" si="112"/>
        <v>4</v>
      </c>
      <c r="DH32" s="117" t="s">
        <v>57</v>
      </c>
      <c r="DI32" s="132">
        <f t="shared" si="113"/>
        <v>0</v>
      </c>
      <c r="DJ32" s="133" t="s">
        <v>57</v>
      </c>
      <c r="DK32" s="222">
        <f t="shared" si="114"/>
        <v>0</v>
      </c>
      <c r="DL32" s="133" t="s">
        <v>89</v>
      </c>
      <c r="DM32" s="222">
        <f t="shared" si="115"/>
        <v>4</v>
      </c>
      <c r="DN32" s="170" t="s">
        <v>90</v>
      </c>
      <c r="DO32" s="170">
        <f t="shared" si="116"/>
        <v>0</v>
      </c>
      <c r="DP32" s="170" t="s">
        <v>90</v>
      </c>
      <c r="DQ32" s="228">
        <f t="shared" si="117"/>
        <v>0</v>
      </c>
      <c r="DR32" s="193">
        <f>(42.6+43.8+39.6)/3</f>
        <v>42</v>
      </c>
      <c r="DS32" s="139">
        <f t="shared" si="118"/>
        <v>2</v>
      </c>
      <c r="DT32" s="150">
        <v>50</v>
      </c>
      <c r="DU32" s="139">
        <f t="shared" si="119"/>
        <v>4</v>
      </c>
      <c r="DV32" s="150">
        <v>50</v>
      </c>
      <c r="DW32" s="139">
        <f t="shared" si="120"/>
        <v>2</v>
      </c>
      <c r="DX32" s="150">
        <v>50</v>
      </c>
      <c r="DY32" s="139">
        <f t="shared" si="121"/>
        <v>4</v>
      </c>
      <c r="DZ32" s="142">
        <f t="shared" si="122"/>
        <v>75</v>
      </c>
      <c r="EA32" s="194">
        <f t="shared" si="123"/>
        <v>29</v>
      </c>
    </row>
    <row r="33" s="1" customFormat="1" ht="15">
      <c r="A33" s="104" t="s">
        <v>120</v>
      </c>
      <c r="B33" s="105" t="s">
        <v>89</v>
      </c>
      <c r="C33" s="105">
        <f t="shared" si="62"/>
        <v>4</v>
      </c>
      <c r="D33" s="106" t="s">
        <v>89</v>
      </c>
      <c r="E33" s="105">
        <f t="shared" si="63"/>
        <v>4</v>
      </c>
      <c r="F33" s="105" t="s">
        <v>91</v>
      </c>
      <c r="G33" s="105">
        <f t="shared" si="64"/>
        <v>0.5</v>
      </c>
      <c r="H33" s="105" t="s">
        <v>90</v>
      </c>
      <c r="I33" s="105">
        <f t="shared" si="65"/>
        <v>0</v>
      </c>
      <c r="J33" s="105" t="s">
        <v>90</v>
      </c>
      <c r="K33" s="105">
        <f t="shared" si="66"/>
        <v>0</v>
      </c>
      <c r="L33" s="105" t="s">
        <v>90</v>
      </c>
      <c r="M33" s="105">
        <f t="shared" si="67"/>
        <v>0</v>
      </c>
      <c r="N33" s="106" t="s">
        <v>89</v>
      </c>
      <c r="O33" s="105">
        <f t="shared" si="68"/>
        <v>4</v>
      </c>
      <c r="P33" s="106" t="s">
        <v>89</v>
      </c>
      <c r="Q33" s="105">
        <f t="shared" si="69"/>
        <v>0.5</v>
      </c>
      <c r="R33" s="105" t="s">
        <v>57</v>
      </c>
      <c r="S33" s="105">
        <f t="shared" si="70"/>
        <v>0</v>
      </c>
      <c r="T33" s="106" t="s">
        <v>89</v>
      </c>
      <c r="U33" s="105">
        <f t="shared" si="71"/>
        <v>0.5</v>
      </c>
      <c r="V33" s="106" t="s">
        <v>89</v>
      </c>
      <c r="W33" s="105">
        <f t="shared" si="72"/>
        <v>0.5</v>
      </c>
      <c r="X33" s="106" t="s">
        <v>89</v>
      </c>
      <c r="Y33" s="105">
        <f t="shared" si="73"/>
        <v>4</v>
      </c>
      <c r="Z33" s="105" t="s">
        <v>91</v>
      </c>
      <c r="AA33" s="105">
        <f t="shared" si="74"/>
        <v>0.5</v>
      </c>
      <c r="AB33" s="106" t="s">
        <v>57</v>
      </c>
      <c r="AC33" s="105">
        <f t="shared" si="75"/>
        <v>0</v>
      </c>
      <c r="AD33" s="105" t="s">
        <v>89</v>
      </c>
      <c r="AE33" s="105">
        <f t="shared" si="76"/>
        <v>4</v>
      </c>
      <c r="AF33" s="105">
        <v>2</v>
      </c>
      <c r="AG33" s="105">
        <f t="shared" si="77"/>
        <v>2</v>
      </c>
      <c r="AH33" s="106" t="s">
        <v>89</v>
      </c>
      <c r="AI33" s="105">
        <f t="shared" si="78"/>
        <v>4</v>
      </c>
      <c r="AJ33" s="106" t="s">
        <v>57</v>
      </c>
      <c r="AK33" s="107" t="s">
        <v>90</v>
      </c>
      <c r="AL33" s="108" t="s">
        <v>90</v>
      </c>
      <c r="AM33" s="107">
        <f t="shared" si="79"/>
        <v>4</v>
      </c>
      <c r="AN33" s="172" t="s">
        <v>90</v>
      </c>
      <c r="AO33" s="111">
        <v>-2</v>
      </c>
      <c r="AP33" s="112">
        <v>54.100000000000001</v>
      </c>
      <c r="AQ33" s="111">
        <f t="shared" si="81"/>
        <v>4</v>
      </c>
      <c r="AR33" s="172" t="s">
        <v>90</v>
      </c>
      <c r="AS33" s="111">
        <v>-2</v>
      </c>
      <c r="AT33" s="110">
        <v>1.8999999999999999</v>
      </c>
      <c r="AU33" s="111">
        <f t="shared" si="83"/>
        <v>0</v>
      </c>
      <c r="AV33" s="223">
        <v>28</v>
      </c>
      <c r="AW33" s="210">
        <f t="shared" si="84"/>
        <v>-4</v>
      </c>
      <c r="AX33" s="106" t="s">
        <v>89</v>
      </c>
      <c r="AY33" s="105">
        <f t="shared" si="85"/>
        <v>4</v>
      </c>
      <c r="AZ33" s="106" t="s">
        <v>89</v>
      </c>
      <c r="BA33" s="105">
        <f t="shared" si="86"/>
        <v>0.5</v>
      </c>
      <c r="BB33" s="106" t="s">
        <v>89</v>
      </c>
      <c r="BC33" s="105">
        <f t="shared" si="87"/>
        <v>0.5</v>
      </c>
      <c r="BD33" s="106" t="s">
        <v>89</v>
      </c>
      <c r="BE33" s="105">
        <f t="shared" si="88"/>
        <v>0.5</v>
      </c>
      <c r="BF33" s="106" t="s">
        <v>89</v>
      </c>
      <c r="BG33" s="105">
        <f t="shared" si="89"/>
        <v>0.5</v>
      </c>
      <c r="BH33" s="105" t="s">
        <v>57</v>
      </c>
      <c r="BI33" s="105">
        <f t="shared" si="90"/>
        <v>0</v>
      </c>
      <c r="BJ33" s="106" t="s">
        <v>89</v>
      </c>
      <c r="BK33" s="105">
        <f t="shared" si="91"/>
        <v>4</v>
      </c>
      <c r="BL33" s="105" t="s">
        <v>90</v>
      </c>
      <c r="BM33" s="105">
        <f t="shared" si="92"/>
        <v>0</v>
      </c>
      <c r="BN33" s="105" t="s">
        <v>90</v>
      </c>
      <c r="BO33" s="105">
        <f t="shared" si="93"/>
        <v>0</v>
      </c>
      <c r="BP33" s="105" t="s">
        <v>90</v>
      </c>
      <c r="BQ33" s="107">
        <f t="shared" si="94"/>
        <v>0</v>
      </c>
      <c r="BR33" s="114">
        <v>703.32000000000005</v>
      </c>
      <c r="BS33" s="115">
        <v>734.52999999999997</v>
      </c>
      <c r="BT33" s="116">
        <f t="shared" si="95"/>
        <v>2</v>
      </c>
      <c r="BU33" s="117" t="s">
        <v>90</v>
      </c>
      <c r="BV33" s="117">
        <f t="shared" si="96"/>
        <v>0</v>
      </c>
      <c r="BW33" s="226" t="s">
        <v>90</v>
      </c>
      <c r="BX33" s="227">
        <f t="shared" si="97"/>
        <v>0</v>
      </c>
      <c r="BY33" s="227" t="s">
        <v>90</v>
      </c>
      <c r="BZ33" s="117">
        <f t="shared" si="98"/>
        <v>0</v>
      </c>
      <c r="CA33" s="227" t="s">
        <v>91</v>
      </c>
      <c r="CB33" s="117">
        <f t="shared" si="99"/>
        <v>0</v>
      </c>
      <c r="CC33" s="6" t="s">
        <v>90</v>
      </c>
      <c r="CD33" s="117">
        <f t="shared" si="100"/>
        <v>0</v>
      </c>
      <c r="CE33" s="6" t="s">
        <v>90</v>
      </c>
      <c r="CF33" s="117">
        <f t="shared" si="101"/>
        <v>0</v>
      </c>
      <c r="CG33" s="118">
        <v>277.13</v>
      </c>
      <c r="CH33" s="119">
        <v>151.11000000000001</v>
      </c>
      <c r="CI33" s="120">
        <f t="shared" si="102"/>
        <v>-2</v>
      </c>
      <c r="CJ33" s="121">
        <v>30406</v>
      </c>
      <c r="CK33" s="121">
        <v>41078.339999999997</v>
      </c>
      <c r="CL33" s="122">
        <f t="shared" si="103"/>
        <v>4</v>
      </c>
      <c r="CM33" s="123" t="s">
        <v>90</v>
      </c>
      <c r="CN33" s="123">
        <f t="shared" si="104"/>
        <v>0</v>
      </c>
      <c r="CO33" s="123" t="s">
        <v>90</v>
      </c>
      <c r="CP33" s="123">
        <f>IF(CO32="+",4,0)</f>
        <v>0</v>
      </c>
      <c r="CQ33" s="123" t="s">
        <v>90</v>
      </c>
      <c r="CR33" s="123">
        <f t="shared" si="106"/>
        <v>0</v>
      </c>
      <c r="CS33" s="123" t="s">
        <v>90</v>
      </c>
      <c r="CT33" s="124">
        <f t="shared" si="107"/>
        <v>0</v>
      </c>
      <c r="CU33" s="146">
        <v>1611.6869999999999</v>
      </c>
      <c r="CV33" s="121">
        <v>603.94000000000005</v>
      </c>
      <c r="CW33" s="125">
        <f t="shared" si="108"/>
        <v>-2</v>
      </c>
      <c r="CX33" s="147">
        <v>118.8</v>
      </c>
      <c r="CY33" s="199">
        <f t="shared" si="109"/>
        <v>6</v>
      </c>
      <c r="CZ33" s="128">
        <v>177174</v>
      </c>
      <c r="DA33" s="128">
        <v>207663</v>
      </c>
      <c r="DB33" s="209">
        <f t="shared" si="110"/>
        <v>6</v>
      </c>
      <c r="DC33" s="139">
        <v>-2</v>
      </c>
      <c r="DD33" s="210" t="s">
        <v>89</v>
      </c>
      <c r="DE33" s="183">
        <f t="shared" si="111"/>
        <v>4</v>
      </c>
      <c r="DF33" s="152">
        <v>84</v>
      </c>
      <c r="DG33" s="221">
        <f t="shared" si="112"/>
        <v>4</v>
      </c>
      <c r="DH33" s="117" t="s">
        <v>57</v>
      </c>
      <c r="DI33" s="132">
        <f t="shared" si="113"/>
        <v>0</v>
      </c>
      <c r="DJ33" s="133" t="s">
        <v>57</v>
      </c>
      <c r="DK33" s="222">
        <f t="shared" si="114"/>
        <v>0</v>
      </c>
      <c r="DL33" s="133" t="s">
        <v>57</v>
      </c>
      <c r="DM33" s="222">
        <f t="shared" si="115"/>
        <v>0</v>
      </c>
      <c r="DN33" s="170" t="s">
        <v>90</v>
      </c>
      <c r="DO33" s="170">
        <f t="shared" si="116"/>
        <v>0</v>
      </c>
      <c r="DP33" s="170" t="s">
        <v>90</v>
      </c>
      <c r="DQ33" s="228">
        <f t="shared" si="117"/>
        <v>0</v>
      </c>
      <c r="DR33" s="193">
        <f>(43.3+35.5+48.4)/3</f>
        <v>42.399999999999999</v>
      </c>
      <c r="DS33" s="139">
        <f t="shared" si="118"/>
        <v>2</v>
      </c>
      <c r="DT33" s="150">
        <v>66.700000000000003</v>
      </c>
      <c r="DU33" s="139">
        <f t="shared" si="119"/>
        <v>4</v>
      </c>
      <c r="DV33" s="150">
        <v>50</v>
      </c>
      <c r="DW33" s="139">
        <f t="shared" si="120"/>
        <v>2</v>
      </c>
      <c r="DX33" s="150">
        <v>50</v>
      </c>
      <c r="DY33" s="139">
        <f t="shared" si="121"/>
        <v>4</v>
      </c>
      <c r="DZ33" s="142">
        <f t="shared" si="122"/>
        <v>70.5</v>
      </c>
      <c r="EA33" s="194">
        <f t="shared" si="123"/>
        <v>30</v>
      </c>
    </row>
    <row r="34">
      <c r="A34" s="229" t="s">
        <v>121</v>
      </c>
      <c r="B34" s="229"/>
      <c r="C34" s="230"/>
      <c r="D34" s="229"/>
      <c r="E34" s="230"/>
      <c r="F34" s="229"/>
      <c r="G34" s="230"/>
      <c r="H34" s="229"/>
      <c r="I34" s="230"/>
      <c r="J34" s="229"/>
      <c r="K34" s="230"/>
      <c r="L34" s="229"/>
      <c r="M34" s="230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1"/>
      <c r="AN34" s="232"/>
      <c r="AO34" s="232"/>
      <c r="AP34" s="232"/>
      <c r="AQ34" s="229"/>
      <c r="AR34" s="232"/>
      <c r="AS34" s="229"/>
      <c r="AT34" s="232"/>
      <c r="AU34" s="233"/>
      <c r="AV34" s="200"/>
      <c r="AW34" s="234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35"/>
      <c r="BS34" s="236"/>
      <c r="BT34" s="237"/>
      <c r="BU34" s="238"/>
      <c r="BV34" s="238"/>
      <c r="BW34" s="238"/>
      <c r="BX34" s="200"/>
      <c r="BY34" s="200"/>
      <c r="BZ34" s="200"/>
      <c r="CA34" s="200"/>
      <c r="CB34" s="229"/>
      <c r="CC34" s="229"/>
      <c r="CD34" s="229"/>
      <c r="CE34" s="229"/>
      <c r="CF34" s="239"/>
      <c r="CG34" s="239"/>
      <c r="CH34" s="240"/>
      <c r="CI34" s="241"/>
      <c r="CJ34" s="242"/>
      <c r="CK34" s="242"/>
      <c r="CL34" s="243"/>
      <c r="CM34" s="244"/>
      <c r="CN34" s="244"/>
      <c r="CO34" s="244"/>
      <c r="CP34" s="244"/>
      <c r="CQ34" s="244"/>
      <c r="CR34" s="244"/>
      <c r="CS34" s="245"/>
      <c r="CT34" s="245"/>
      <c r="CU34" s="246"/>
      <c r="CV34" s="247"/>
      <c r="CW34" s="248"/>
      <c r="CX34" s="249"/>
      <c r="CY34" s="239"/>
      <c r="CZ34" s="250"/>
      <c r="DA34" s="247"/>
      <c r="DB34" s="249"/>
      <c r="DC34" s="239"/>
      <c r="DD34" s="250"/>
      <c r="DE34" s="249"/>
      <c r="DF34" s="244"/>
      <c r="DG34" s="245"/>
      <c r="DH34" s="251"/>
      <c r="DI34" s="244"/>
      <c r="DJ34" s="252"/>
      <c r="DK34" s="242"/>
      <c r="DL34" s="242"/>
      <c r="DM34" s="242"/>
      <c r="DN34" s="242"/>
      <c r="DO34" s="242"/>
      <c r="DP34" s="242"/>
      <c r="DQ34" s="242"/>
      <c r="DR34" s="253"/>
      <c r="DS34" s="200"/>
      <c r="DT34" s="200"/>
      <c r="DU34" s="200"/>
      <c r="DV34" s="200"/>
      <c r="DW34" s="200"/>
      <c r="DX34" s="200"/>
      <c r="DY34" s="200"/>
      <c r="DZ34" s="239"/>
      <c r="EA34" s="239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C34" s="1"/>
      <c r="FD34" s="1"/>
    </row>
    <row r="35" ht="15">
      <c r="A35" s="254" t="s">
        <v>122</v>
      </c>
      <c r="B35" s="105" t="s">
        <v>89</v>
      </c>
      <c r="C35" s="109">
        <f t="shared" si="62"/>
        <v>4</v>
      </c>
      <c r="D35" s="105" t="s">
        <v>89</v>
      </c>
      <c r="E35" s="203">
        <f t="shared" si="63"/>
        <v>4</v>
      </c>
      <c r="F35" s="139" t="s">
        <v>90</v>
      </c>
      <c r="G35" s="139">
        <f t="shared" si="64"/>
        <v>0</v>
      </c>
      <c r="H35" s="139" t="s">
        <v>91</v>
      </c>
      <c r="I35" s="139">
        <f t="shared" si="65"/>
        <v>1</v>
      </c>
      <c r="J35" s="139" t="s">
        <v>91</v>
      </c>
      <c r="K35" s="139">
        <f t="shared" si="66"/>
        <v>0.5</v>
      </c>
      <c r="L35" s="139" t="s">
        <v>90</v>
      </c>
      <c r="M35" s="202">
        <f t="shared" si="67"/>
        <v>0</v>
      </c>
      <c r="N35" s="105" t="s">
        <v>89</v>
      </c>
      <c r="O35" s="109">
        <f t="shared" si="68"/>
        <v>4</v>
      </c>
      <c r="P35" s="105" t="s">
        <v>89</v>
      </c>
      <c r="Q35" s="109">
        <f t="shared" si="69"/>
        <v>0.5</v>
      </c>
      <c r="R35" s="105" t="s">
        <v>89</v>
      </c>
      <c r="S35" s="109">
        <f t="shared" si="70"/>
        <v>0.5</v>
      </c>
      <c r="T35" s="105" t="s">
        <v>89</v>
      </c>
      <c r="U35" s="109">
        <f t="shared" si="71"/>
        <v>0.5</v>
      </c>
      <c r="V35" s="105" t="s">
        <v>89</v>
      </c>
      <c r="W35" s="109">
        <f t="shared" si="72"/>
        <v>0.5</v>
      </c>
      <c r="X35" s="105" t="s">
        <v>89</v>
      </c>
      <c r="Y35" s="203">
        <f t="shared" si="73"/>
        <v>4</v>
      </c>
      <c r="Z35" s="139" t="s">
        <v>91</v>
      </c>
      <c r="AA35" s="202">
        <f t="shared" si="74"/>
        <v>0.5</v>
      </c>
      <c r="AB35" s="105" t="s">
        <v>89</v>
      </c>
      <c r="AC35" s="109">
        <f t="shared" si="75"/>
        <v>4</v>
      </c>
      <c r="AD35" s="105" t="s">
        <v>89</v>
      </c>
      <c r="AE35" s="203">
        <f t="shared" si="76"/>
        <v>4</v>
      </c>
      <c r="AF35" s="139">
        <v>10</v>
      </c>
      <c r="AG35" s="202">
        <f t="shared" si="77"/>
        <v>10</v>
      </c>
      <c r="AH35" s="105" t="s">
        <v>89</v>
      </c>
      <c r="AI35" s="109">
        <f t="shared" si="78"/>
        <v>4</v>
      </c>
      <c r="AJ35" s="107" t="s">
        <v>90</v>
      </c>
      <c r="AK35" s="107" t="s">
        <v>90</v>
      </c>
      <c r="AL35" s="255" t="s">
        <v>89</v>
      </c>
      <c r="AM35" s="139">
        <f t="shared" si="79"/>
        <v>-2</v>
      </c>
      <c r="AN35" s="110">
        <v>82</v>
      </c>
      <c r="AO35" s="111">
        <f t="shared" si="80"/>
        <v>4</v>
      </c>
      <c r="AP35" s="112">
        <v>60.700000000000003</v>
      </c>
      <c r="AQ35" s="205">
        <f t="shared" si="81"/>
        <v>4</v>
      </c>
      <c r="AR35" s="110">
        <v>3.1000000000000001</v>
      </c>
      <c r="AS35" s="205">
        <f t="shared" si="82"/>
        <v>4</v>
      </c>
      <c r="AT35" s="110">
        <v>3</v>
      </c>
      <c r="AU35" s="206">
        <f t="shared" si="83"/>
        <v>4</v>
      </c>
      <c r="AV35" s="223">
        <v>9.6999999999999993</v>
      </c>
      <c r="AW35" s="109">
        <f t="shared" si="84"/>
        <v>2</v>
      </c>
      <c r="AX35" s="105" t="s">
        <v>89</v>
      </c>
      <c r="AY35" s="109">
        <f t="shared" si="85"/>
        <v>4</v>
      </c>
      <c r="AZ35" s="105" t="s">
        <v>89</v>
      </c>
      <c r="BA35" s="109">
        <f t="shared" si="86"/>
        <v>0.5</v>
      </c>
      <c r="BB35" s="105" t="s">
        <v>89</v>
      </c>
      <c r="BC35" s="109">
        <f t="shared" si="87"/>
        <v>0.5</v>
      </c>
      <c r="BD35" s="105" t="s">
        <v>89</v>
      </c>
      <c r="BE35" s="109">
        <f t="shared" si="88"/>
        <v>0.5</v>
      </c>
      <c r="BF35" s="105" t="s">
        <v>89</v>
      </c>
      <c r="BG35" s="109">
        <f t="shared" si="89"/>
        <v>0.5</v>
      </c>
      <c r="BH35" s="105" t="s">
        <v>89</v>
      </c>
      <c r="BI35" s="109">
        <f t="shared" si="90"/>
        <v>0.5</v>
      </c>
      <c r="BJ35" s="105" t="s">
        <v>89</v>
      </c>
      <c r="BK35" s="203">
        <f t="shared" si="91"/>
        <v>4</v>
      </c>
      <c r="BL35" s="139" t="s">
        <v>90</v>
      </c>
      <c r="BM35" s="139">
        <f t="shared" si="92"/>
        <v>0</v>
      </c>
      <c r="BN35" s="139" t="s">
        <v>90</v>
      </c>
      <c r="BO35" s="139">
        <f t="shared" si="93"/>
        <v>0</v>
      </c>
      <c r="BP35" s="139" t="s">
        <v>91</v>
      </c>
      <c r="BQ35" s="202">
        <f t="shared" si="94"/>
        <v>1.5</v>
      </c>
      <c r="BR35" s="114">
        <v>217808.5</v>
      </c>
      <c r="BS35" s="115">
        <v>338872</v>
      </c>
      <c r="BT35" s="208">
        <f t="shared" si="95"/>
        <v>4</v>
      </c>
      <c r="BU35" s="117" t="s">
        <v>91</v>
      </c>
      <c r="BV35" s="117">
        <f t="shared" si="96"/>
        <v>6</v>
      </c>
      <c r="BW35" s="226" t="s">
        <v>90</v>
      </c>
      <c r="BX35" s="227">
        <f t="shared" si="97"/>
        <v>0</v>
      </c>
      <c r="BY35" s="227" t="s">
        <v>90</v>
      </c>
      <c r="BZ35" s="117">
        <f t="shared" si="98"/>
        <v>0</v>
      </c>
      <c r="CA35" s="227" t="s">
        <v>90</v>
      </c>
      <c r="CB35" s="117">
        <f t="shared" si="99"/>
        <v>0</v>
      </c>
      <c r="CC35" s="117" t="s">
        <v>90</v>
      </c>
      <c r="CD35" s="117">
        <f t="shared" si="100"/>
        <v>0</v>
      </c>
      <c r="CE35" s="117" t="s">
        <v>91</v>
      </c>
      <c r="CF35" s="117">
        <f t="shared" si="101"/>
        <v>4</v>
      </c>
      <c r="CG35" s="179">
        <v>277.13</v>
      </c>
      <c r="CH35" s="256">
        <v>691.21000000000004</v>
      </c>
      <c r="CI35" s="139">
        <f t="shared" si="102"/>
        <v>4</v>
      </c>
      <c r="CJ35" s="181">
        <v>1376007</v>
      </c>
      <c r="CK35" s="181">
        <v>1431002.3600000001</v>
      </c>
      <c r="CL35" s="123">
        <f t="shared" si="103"/>
        <v>2</v>
      </c>
      <c r="CM35" s="123" t="s">
        <v>91</v>
      </c>
      <c r="CN35" s="123">
        <f t="shared" si="104"/>
        <v>6</v>
      </c>
      <c r="CO35" s="123" t="s">
        <v>90</v>
      </c>
      <c r="CP35" s="123">
        <f t="shared" ref="CP35:CP39" si="125">IF(CO35="+",4,0)</f>
        <v>0</v>
      </c>
      <c r="CQ35" s="123" t="s">
        <v>90</v>
      </c>
      <c r="CR35" s="123">
        <f t="shared" si="106"/>
        <v>0</v>
      </c>
      <c r="CS35" s="123" t="s">
        <v>90</v>
      </c>
      <c r="CT35" s="123">
        <f t="shared" si="107"/>
        <v>0</v>
      </c>
      <c r="CU35" s="121">
        <v>9407.2909999999993</v>
      </c>
      <c r="CV35" s="121">
        <v>2895.8600000000001</v>
      </c>
      <c r="CW35" s="208">
        <f t="shared" si="108"/>
        <v>-2</v>
      </c>
      <c r="CX35" s="183">
        <v>117.09999999999999</v>
      </c>
      <c r="CY35" s="127">
        <f t="shared" si="109"/>
        <v>6</v>
      </c>
      <c r="CZ35" s="128">
        <v>181684719</v>
      </c>
      <c r="DA35" s="128">
        <v>214744937</v>
      </c>
      <c r="DB35" s="203">
        <f t="shared" ref="DB35:DB37" si="126">IF(DA35&lt;=CZ35,0,IF((((DA35/CI7)*100)-100)&lt;=5,4,6))</f>
        <v>4</v>
      </c>
      <c r="DC35" s="139">
        <v>0</v>
      </c>
      <c r="DD35" s="210" t="s">
        <v>89</v>
      </c>
      <c r="DE35" s="203">
        <f t="shared" si="111"/>
        <v>4</v>
      </c>
      <c r="DF35" s="130">
        <v>72.700000000000003</v>
      </c>
      <c r="DG35" s="211">
        <f t="shared" si="112"/>
        <v>4</v>
      </c>
      <c r="DH35" s="117" t="s">
        <v>57</v>
      </c>
      <c r="DI35" s="132">
        <f t="shared" si="113"/>
        <v>0</v>
      </c>
      <c r="DJ35" s="133" t="s">
        <v>89</v>
      </c>
      <c r="DK35" s="170">
        <f t="shared" si="114"/>
        <v>4</v>
      </c>
      <c r="DL35" s="133" t="s">
        <v>89</v>
      </c>
      <c r="DM35" s="170">
        <f t="shared" si="115"/>
        <v>4</v>
      </c>
      <c r="DN35" s="170" t="s">
        <v>90</v>
      </c>
      <c r="DO35" s="170">
        <f t="shared" si="116"/>
        <v>0</v>
      </c>
      <c r="DP35" s="170" t="s">
        <v>91</v>
      </c>
      <c r="DQ35" s="170">
        <f t="shared" si="117"/>
        <v>0</v>
      </c>
      <c r="DR35" s="150">
        <f>(59+55.6+55.1)/3</f>
        <v>56.566666666666663</v>
      </c>
      <c r="DS35" s="139">
        <f t="shared" si="118"/>
        <v>4</v>
      </c>
      <c r="DT35" s="150">
        <v>72.599999999999994</v>
      </c>
      <c r="DU35" s="139">
        <f t="shared" si="119"/>
        <v>4</v>
      </c>
      <c r="DV35" s="150">
        <v>30.699999999999999</v>
      </c>
      <c r="DW35" s="139">
        <f t="shared" si="120"/>
        <v>1</v>
      </c>
      <c r="DX35" s="150">
        <v>26.600000000000001</v>
      </c>
      <c r="DY35" s="139">
        <f t="shared" si="121"/>
        <v>1</v>
      </c>
      <c r="DZ35" s="142">
        <f t="shared" si="122"/>
        <v>130</v>
      </c>
      <c r="EA35" s="194">
        <f t="shared" ref="EA35:EA39" si="127">RANK(DZ35,DZ$35:DZ$39,0)</f>
        <v>1</v>
      </c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C35" s="1"/>
      <c r="FD35" s="1"/>
    </row>
    <row r="36" s="1" customFormat="1" ht="15">
      <c r="A36" s="254" t="s">
        <v>123</v>
      </c>
      <c r="B36" s="105" t="s">
        <v>89</v>
      </c>
      <c r="C36" s="109">
        <f t="shared" si="62"/>
        <v>4</v>
      </c>
      <c r="D36" s="105" t="s">
        <v>89</v>
      </c>
      <c r="E36" s="203">
        <f t="shared" si="63"/>
        <v>4</v>
      </c>
      <c r="F36" s="139" t="s">
        <v>90</v>
      </c>
      <c r="G36" s="139">
        <f t="shared" si="64"/>
        <v>0</v>
      </c>
      <c r="H36" s="139" t="s">
        <v>91</v>
      </c>
      <c r="I36" s="139">
        <f t="shared" si="65"/>
        <v>1</v>
      </c>
      <c r="J36" s="139" t="s">
        <v>91</v>
      </c>
      <c r="K36" s="139">
        <f t="shared" si="66"/>
        <v>0.5</v>
      </c>
      <c r="L36" s="139" t="s">
        <v>90</v>
      </c>
      <c r="M36" s="202">
        <f t="shared" si="67"/>
        <v>0</v>
      </c>
      <c r="N36" s="105" t="s">
        <v>89</v>
      </c>
      <c r="O36" s="109">
        <f t="shared" si="68"/>
        <v>4</v>
      </c>
      <c r="P36" s="105" t="s">
        <v>89</v>
      </c>
      <c r="Q36" s="109">
        <f t="shared" si="69"/>
        <v>0.5</v>
      </c>
      <c r="R36" s="105" t="s">
        <v>89</v>
      </c>
      <c r="S36" s="109">
        <f t="shared" si="70"/>
        <v>0.5</v>
      </c>
      <c r="T36" s="105" t="s">
        <v>89</v>
      </c>
      <c r="U36" s="109">
        <f t="shared" si="71"/>
        <v>0.5</v>
      </c>
      <c r="V36" s="105" t="s">
        <v>89</v>
      </c>
      <c r="W36" s="109">
        <f t="shared" si="72"/>
        <v>0.5</v>
      </c>
      <c r="X36" s="105" t="s">
        <v>89</v>
      </c>
      <c r="Y36" s="203">
        <f t="shared" si="73"/>
        <v>4</v>
      </c>
      <c r="Z36" s="139" t="s">
        <v>91</v>
      </c>
      <c r="AA36" s="202">
        <f t="shared" si="74"/>
        <v>0.5</v>
      </c>
      <c r="AB36" s="105" t="s">
        <v>89</v>
      </c>
      <c r="AC36" s="109">
        <f t="shared" si="75"/>
        <v>4</v>
      </c>
      <c r="AD36" s="105" t="s">
        <v>89</v>
      </c>
      <c r="AE36" s="203">
        <f t="shared" si="76"/>
        <v>4</v>
      </c>
      <c r="AF36" s="139">
        <v>3</v>
      </c>
      <c r="AG36" s="202">
        <f t="shared" si="77"/>
        <v>3</v>
      </c>
      <c r="AH36" s="105" t="s">
        <v>89</v>
      </c>
      <c r="AI36" s="109">
        <f t="shared" si="78"/>
        <v>4</v>
      </c>
      <c r="AJ36" s="105" t="s">
        <v>57</v>
      </c>
      <c r="AK36" s="107" t="s">
        <v>90</v>
      </c>
      <c r="AL36" s="107" t="s">
        <v>90</v>
      </c>
      <c r="AM36" s="139">
        <f t="shared" si="79"/>
        <v>4</v>
      </c>
      <c r="AN36" s="172">
        <v>83.5</v>
      </c>
      <c r="AO36" s="111">
        <f t="shared" si="80"/>
        <v>4</v>
      </c>
      <c r="AP36" s="112">
        <v>64.400000000000006</v>
      </c>
      <c r="AQ36" s="205">
        <f t="shared" si="81"/>
        <v>4</v>
      </c>
      <c r="AR36" s="110">
        <v>2.6000000000000001</v>
      </c>
      <c r="AS36" s="205">
        <f t="shared" si="82"/>
        <v>4</v>
      </c>
      <c r="AT36" s="110">
        <v>3.7999999999999998</v>
      </c>
      <c r="AU36" s="206">
        <f t="shared" si="83"/>
        <v>4</v>
      </c>
      <c r="AV36" s="223">
        <v>6.2000000000000002</v>
      </c>
      <c r="AW36" s="109">
        <f t="shared" si="84"/>
        <v>2</v>
      </c>
      <c r="AX36" s="105" t="s">
        <v>89</v>
      </c>
      <c r="AY36" s="109">
        <f t="shared" si="85"/>
        <v>4</v>
      </c>
      <c r="AZ36" s="105" t="s">
        <v>89</v>
      </c>
      <c r="BA36" s="109">
        <f t="shared" si="86"/>
        <v>0.5</v>
      </c>
      <c r="BB36" s="105" t="s">
        <v>89</v>
      </c>
      <c r="BC36" s="109">
        <f t="shared" si="87"/>
        <v>0.5</v>
      </c>
      <c r="BD36" s="105" t="s">
        <v>89</v>
      </c>
      <c r="BE36" s="109">
        <f t="shared" si="88"/>
        <v>0.5</v>
      </c>
      <c r="BF36" s="105" t="s">
        <v>89</v>
      </c>
      <c r="BG36" s="109">
        <f t="shared" si="89"/>
        <v>0.5</v>
      </c>
      <c r="BH36" s="105" t="s">
        <v>89</v>
      </c>
      <c r="BI36" s="109">
        <f t="shared" si="90"/>
        <v>0.5</v>
      </c>
      <c r="BJ36" s="105" t="s">
        <v>89</v>
      </c>
      <c r="BK36" s="203">
        <f t="shared" si="91"/>
        <v>4</v>
      </c>
      <c r="BL36" s="139" t="s">
        <v>90</v>
      </c>
      <c r="BM36" s="139">
        <f t="shared" si="92"/>
        <v>0</v>
      </c>
      <c r="BN36" s="139" t="s">
        <v>91</v>
      </c>
      <c r="BO36" s="139">
        <f t="shared" si="93"/>
        <v>1</v>
      </c>
      <c r="BP36" s="139" t="s">
        <v>90</v>
      </c>
      <c r="BQ36" s="202">
        <f t="shared" si="94"/>
        <v>0</v>
      </c>
      <c r="BR36" s="176">
        <v>12765.459999999999</v>
      </c>
      <c r="BS36" s="115">
        <v>14084.709999999999</v>
      </c>
      <c r="BT36" s="116">
        <f t="shared" si="95"/>
        <v>4</v>
      </c>
      <c r="BU36" s="117" t="s">
        <v>90</v>
      </c>
      <c r="BV36" s="117">
        <f t="shared" si="96"/>
        <v>0</v>
      </c>
      <c r="BW36" s="226" t="s">
        <v>91</v>
      </c>
      <c r="BX36" s="227">
        <f t="shared" si="97"/>
        <v>4</v>
      </c>
      <c r="BY36" s="227" t="s">
        <v>90</v>
      </c>
      <c r="BZ36" s="117">
        <f t="shared" si="98"/>
        <v>0</v>
      </c>
      <c r="CA36" s="227" t="s">
        <v>90</v>
      </c>
      <c r="CB36" s="117">
        <f t="shared" si="99"/>
        <v>0</v>
      </c>
      <c r="CC36" s="117" t="s">
        <v>91</v>
      </c>
      <c r="CD36" s="117">
        <f t="shared" si="100"/>
        <v>0.5</v>
      </c>
      <c r="CE36" s="117" t="s">
        <v>90</v>
      </c>
      <c r="CF36" s="117">
        <f t="shared" si="101"/>
        <v>0</v>
      </c>
      <c r="CG36" s="179">
        <v>277.13</v>
      </c>
      <c r="CH36" s="256">
        <v>535.50999999999999</v>
      </c>
      <c r="CI36" s="139">
        <f t="shared" si="102"/>
        <v>4</v>
      </c>
      <c r="CJ36" s="257">
        <v>408831</v>
      </c>
      <c r="CK36" s="258">
        <v>458852.63</v>
      </c>
      <c r="CL36" s="123">
        <f t="shared" si="103"/>
        <v>4</v>
      </c>
      <c r="CM36" s="123" t="s">
        <v>91</v>
      </c>
      <c r="CN36" s="123">
        <f t="shared" si="104"/>
        <v>6</v>
      </c>
      <c r="CO36" s="123" t="s">
        <v>90</v>
      </c>
      <c r="CP36" s="123">
        <f t="shared" si="125"/>
        <v>0</v>
      </c>
      <c r="CQ36" s="123" t="s">
        <v>90</v>
      </c>
      <c r="CR36" s="123">
        <f t="shared" si="106"/>
        <v>0</v>
      </c>
      <c r="CS36" s="123" t="s">
        <v>90</v>
      </c>
      <c r="CT36" s="123">
        <f t="shared" si="107"/>
        <v>0</v>
      </c>
      <c r="CU36" s="121">
        <v>2168.8150000000001</v>
      </c>
      <c r="CV36" s="121">
        <v>967.46000000000004</v>
      </c>
      <c r="CW36" s="208">
        <f t="shared" si="108"/>
        <v>-2</v>
      </c>
      <c r="CX36" s="259">
        <v>117</v>
      </c>
      <c r="CY36" s="127">
        <f t="shared" si="109"/>
        <v>6</v>
      </c>
      <c r="CZ36" s="128">
        <v>4024468</v>
      </c>
      <c r="DA36" s="128">
        <v>6526454</v>
      </c>
      <c r="DB36" s="203">
        <f t="shared" si="126"/>
        <v>4</v>
      </c>
      <c r="DC36" s="139">
        <v>-2</v>
      </c>
      <c r="DD36" s="210" t="s">
        <v>89</v>
      </c>
      <c r="DE36" s="203">
        <f t="shared" si="111"/>
        <v>4</v>
      </c>
      <c r="DF36" s="157">
        <v>91.799999999999997</v>
      </c>
      <c r="DG36" s="211">
        <f t="shared" si="112"/>
        <v>4</v>
      </c>
      <c r="DH36" s="117" t="s">
        <v>89</v>
      </c>
      <c r="DI36" s="132">
        <f t="shared" si="113"/>
        <v>1</v>
      </c>
      <c r="DJ36" s="260" t="s">
        <v>89</v>
      </c>
      <c r="DK36" s="170">
        <f t="shared" si="114"/>
        <v>4</v>
      </c>
      <c r="DL36" s="260" t="s">
        <v>89</v>
      </c>
      <c r="DM36" s="211">
        <f t="shared" si="115"/>
        <v>4</v>
      </c>
      <c r="DN36" s="170" t="s">
        <v>90</v>
      </c>
      <c r="DO36" s="170">
        <f t="shared" si="116"/>
        <v>0</v>
      </c>
      <c r="DP36" s="170" t="s">
        <v>90</v>
      </c>
      <c r="DQ36" s="170">
        <f t="shared" si="117"/>
        <v>0</v>
      </c>
      <c r="DR36" s="150">
        <f>(42.9+35.9+39.1)/3</f>
        <v>39.300000000000004</v>
      </c>
      <c r="DS36" s="139">
        <f t="shared" si="118"/>
        <v>2</v>
      </c>
      <c r="DT36" s="150">
        <v>58.299999999999997</v>
      </c>
      <c r="DU36" s="139">
        <f t="shared" si="119"/>
        <v>4</v>
      </c>
      <c r="DV36" s="150">
        <v>33.299999999999997</v>
      </c>
      <c r="DW36" s="139">
        <f t="shared" si="120"/>
        <v>1</v>
      </c>
      <c r="DX36" s="150">
        <v>25</v>
      </c>
      <c r="DY36" s="139">
        <f t="shared" si="121"/>
        <v>1</v>
      </c>
      <c r="DZ36" s="142">
        <f t="shared" si="122"/>
        <v>122</v>
      </c>
      <c r="EA36" s="194">
        <f t="shared" si="127"/>
        <v>2</v>
      </c>
    </row>
    <row r="37" s="1" customFormat="1" ht="15">
      <c r="A37" s="254" t="s">
        <v>124</v>
      </c>
      <c r="B37" s="105" t="s">
        <v>89</v>
      </c>
      <c r="C37" s="109">
        <f t="shared" si="62"/>
        <v>4</v>
      </c>
      <c r="D37" s="105" t="s">
        <v>89</v>
      </c>
      <c r="E37" s="203">
        <f t="shared" si="63"/>
        <v>4</v>
      </c>
      <c r="F37" s="139" t="s">
        <v>91</v>
      </c>
      <c r="G37" s="139">
        <f t="shared" si="64"/>
        <v>0.5</v>
      </c>
      <c r="H37" s="139" t="s">
        <v>90</v>
      </c>
      <c r="I37" s="139">
        <f t="shared" si="65"/>
        <v>0</v>
      </c>
      <c r="J37" s="139" t="s">
        <v>91</v>
      </c>
      <c r="K37" s="139">
        <f t="shared" si="66"/>
        <v>0.5</v>
      </c>
      <c r="L37" s="139" t="s">
        <v>90</v>
      </c>
      <c r="M37" s="202">
        <f t="shared" si="67"/>
        <v>0</v>
      </c>
      <c r="N37" s="105" t="s">
        <v>89</v>
      </c>
      <c r="O37" s="109">
        <f t="shared" si="68"/>
        <v>4</v>
      </c>
      <c r="P37" s="105" t="s">
        <v>89</v>
      </c>
      <c r="Q37" s="203">
        <f t="shared" si="69"/>
        <v>0.5</v>
      </c>
      <c r="R37" s="207" t="s">
        <v>89</v>
      </c>
      <c r="S37" s="139">
        <f t="shared" si="70"/>
        <v>0.5</v>
      </c>
      <c r="T37" s="207" t="s">
        <v>89</v>
      </c>
      <c r="U37" s="139">
        <f t="shared" si="71"/>
        <v>0.5</v>
      </c>
      <c r="V37" s="207" t="s">
        <v>89</v>
      </c>
      <c r="W37" s="139">
        <f t="shared" si="72"/>
        <v>0.5</v>
      </c>
      <c r="X37" s="207" t="s">
        <v>89</v>
      </c>
      <c r="Y37" s="139">
        <f t="shared" si="73"/>
        <v>4</v>
      </c>
      <c r="Z37" s="261" t="s">
        <v>91</v>
      </c>
      <c r="AA37" s="139">
        <f t="shared" si="74"/>
        <v>0.5</v>
      </c>
      <c r="AB37" s="207" t="s">
        <v>89</v>
      </c>
      <c r="AC37" s="202">
        <f t="shared" si="75"/>
        <v>4</v>
      </c>
      <c r="AD37" s="105" t="s">
        <v>89</v>
      </c>
      <c r="AE37" s="203">
        <f t="shared" si="76"/>
        <v>4</v>
      </c>
      <c r="AF37" s="139">
        <v>1</v>
      </c>
      <c r="AG37" s="139">
        <f t="shared" si="77"/>
        <v>1</v>
      </c>
      <c r="AH37" s="207" t="s">
        <v>89</v>
      </c>
      <c r="AI37" s="202">
        <f t="shared" si="78"/>
        <v>4</v>
      </c>
      <c r="AJ37" s="105" t="s">
        <v>57</v>
      </c>
      <c r="AK37" s="107" t="s">
        <v>90</v>
      </c>
      <c r="AL37" s="107" t="s">
        <v>90</v>
      </c>
      <c r="AM37" s="139">
        <f t="shared" si="79"/>
        <v>4</v>
      </c>
      <c r="AN37" s="110">
        <v>97</v>
      </c>
      <c r="AO37" s="111">
        <f t="shared" si="80"/>
        <v>4</v>
      </c>
      <c r="AP37" s="112">
        <v>34.799999999999997</v>
      </c>
      <c r="AQ37" s="205">
        <f t="shared" si="81"/>
        <v>2</v>
      </c>
      <c r="AR37" s="110">
        <v>1.3999999999999999</v>
      </c>
      <c r="AS37" s="205">
        <f t="shared" si="82"/>
        <v>0</v>
      </c>
      <c r="AT37" s="110">
        <v>1.8999999999999999</v>
      </c>
      <c r="AU37" s="206">
        <f t="shared" si="83"/>
        <v>0</v>
      </c>
      <c r="AV37" s="223">
        <v>9.4000000000000004</v>
      </c>
      <c r="AW37" s="203">
        <f t="shared" si="84"/>
        <v>2</v>
      </c>
      <c r="AX37" s="207" t="s">
        <v>89</v>
      </c>
      <c r="AY37" s="139">
        <f t="shared" si="85"/>
        <v>4</v>
      </c>
      <c r="AZ37" s="207" t="s">
        <v>89</v>
      </c>
      <c r="BA37" s="139">
        <f t="shared" si="86"/>
        <v>0.5</v>
      </c>
      <c r="BB37" s="207" t="s">
        <v>89</v>
      </c>
      <c r="BC37" s="139">
        <f t="shared" si="87"/>
        <v>0.5</v>
      </c>
      <c r="BD37" s="207" t="s">
        <v>89</v>
      </c>
      <c r="BE37" s="139">
        <f t="shared" si="88"/>
        <v>0.5</v>
      </c>
      <c r="BF37" s="207" t="s">
        <v>89</v>
      </c>
      <c r="BG37" s="139">
        <f t="shared" si="89"/>
        <v>0.5</v>
      </c>
      <c r="BH37" s="207" t="s">
        <v>89</v>
      </c>
      <c r="BI37" s="139">
        <f t="shared" si="90"/>
        <v>0.5</v>
      </c>
      <c r="BJ37" s="207" t="s">
        <v>89</v>
      </c>
      <c r="BK37" s="139">
        <f t="shared" si="91"/>
        <v>4</v>
      </c>
      <c r="BL37" s="139" t="s">
        <v>90</v>
      </c>
      <c r="BM37" s="139">
        <f t="shared" si="92"/>
        <v>0</v>
      </c>
      <c r="BN37" s="139" t="s">
        <v>91</v>
      </c>
      <c r="BO37" s="139">
        <f t="shared" si="93"/>
        <v>1</v>
      </c>
      <c r="BP37" s="139" t="s">
        <v>90</v>
      </c>
      <c r="BQ37" s="202">
        <f t="shared" si="94"/>
        <v>0</v>
      </c>
      <c r="BR37" s="262">
        <v>2229</v>
      </c>
      <c r="BS37" s="115">
        <v>4414.8000000000002</v>
      </c>
      <c r="BT37" s="116">
        <f t="shared" si="95"/>
        <v>4</v>
      </c>
      <c r="BU37" s="178" t="s">
        <v>91</v>
      </c>
      <c r="BV37" s="117">
        <f t="shared" si="96"/>
        <v>6</v>
      </c>
      <c r="BW37" s="263" t="s">
        <v>90</v>
      </c>
      <c r="BX37" s="227">
        <f t="shared" si="97"/>
        <v>0</v>
      </c>
      <c r="BY37" s="264" t="s">
        <v>90</v>
      </c>
      <c r="BZ37" s="117">
        <f t="shared" si="98"/>
        <v>0</v>
      </c>
      <c r="CA37" s="264" t="s">
        <v>90</v>
      </c>
      <c r="CB37" s="117">
        <f t="shared" si="99"/>
        <v>0</v>
      </c>
      <c r="CC37" s="178" t="s">
        <v>91</v>
      </c>
      <c r="CD37" s="117">
        <f t="shared" si="100"/>
        <v>0.5</v>
      </c>
      <c r="CE37" s="178" t="s">
        <v>90</v>
      </c>
      <c r="CF37" s="117">
        <f t="shared" si="101"/>
        <v>0</v>
      </c>
      <c r="CG37" s="179">
        <v>277.13</v>
      </c>
      <c r="CH37" s="256">
        <v>329.32999999999998</v>
      </c>
      <c r="CI37" s="139">
        <f t="shared" si="102"/>
        <v>4</v>
      </c>
      <c r="CJ37" s="181">
        <v>232299</v>
      </c>
      <c r="CK37" s="181">
        <v>328578.15999999997</v>
      </c>
      <c r="CL37" s="123">
        <f t="shared" si="103"/>
        <v>4</v>
      </c>
      <c r="CM37" s="123" t="s">
        <v>90</v>
      </c>
      <c r="CN37" s="123">
        <f t="shared" si="104"/>
        <v>0</v>
      </c>
      <c r="CO37" s="123" t="s">
        <v>90</v>
      </c>
      <c r="CP37" s="123">
        <f t="shared" si="125"/>
        <v>0</v>
      </c>
      <c r="CQ37" s="123" t="s">
        <v>91</v>
      </c>
      <c r="CR37" s="123">
        <f t="shared" si="106"/>
        <v>0</v>
      </c>
      <c r="CS37" s="123" t="s">
        <v>90</v>
      </c>
      <c r="CT37" s="123">
        <f t="shared" si="107"/>
        <v>0</v>
      </c>
      <c r="CU37" s="121">
        <v>560.15999999999997</v>
      </c>
      <c r="CV37" s="121">
        <v>1344.3499999999999</v>
      </c>
      <c r="CW37" s="208">
        <f t="shared" si="108"/>
        <v>6</v>
      </c>
      <c r="CX37" s="183">
        <v>122.2</v>
      </c>
      <c r="CY37" s="127">
        <f t="shared" si="109"/>
        <v>6</v>
      </c>
      <c r="CZ37" s="128">
        <v>2739427</v>
      </c>
      <c r="DA37" s="128">
        <v>3388459</v>
      </c>
      <c r="DB37" s="203">
        <f t="shared" si="126"/>
        <v>4</v>
      </c>
      <c r="DC37" s="139">
        <v>4</v>
      </c>
      <c r="DD37" s="210" t="s">
        <v>89</v>
      </c>
      <c r="DE37" s="203">
        <f t="shared" si="111"/>
        <v>4</v>
      </c>
      <c r="DF37" s="157">
        <v>90.299999999999997</v>
      </c>
      <c r="DG37" s="211">
        <f t="shared" si="112"/>
        <v>4</v>
      </c>
      <c r="DH37" s="178" t="s">
        <v>57</v>
      </c>
      <c r="DI37" s="132">
        <f t="shared" si="113"/>
        <v>0</v>
      </c>
      <c r="DJ37" s="133" t="s">
        <v>89</v>
      </c>
      <c r="DK37" s="170">
        <f t="shared" si="114"/>
        <v>4</v>
      </c>
      <c r="DL37" s="133" t="s">
        <v>89</v>
      </c>
      <c r="DM37" s="211">
        <f t="shared" si="115"/>
        <v>4</v>
      </c>
      <c r="DN37" s="170" t="s">
        <v>90</v>
      </c>
      <c r="DO37" s="170">
        <f t="shared" si="116"/>
        <v>0</v>
      </c>
      <c r="DP37" s="170" t="s">
        <v>91</v>
      </c>
      <c r="DQ37" s="170">
        <f t="shared" si="117"/>
        <v>0</v>
      </c>
      <c r="DR37" s="150">
        <f>(50+48.7+51.3)/3</f>
        <v>50</v>
      </c>
      <c r="DS37" s="139">
        <f t="shared" si="118"/>
        <v>4</v>
      </c>
      <c r="DT37" s="150">
        <v>50</v>
      </c>
      <c r="DU37" s="139">
        <f t="shared" si="119"/>
        <v>4</v>
      </c>
      <c r="DV37" s="150">
        <v>33.299999999999997</v>
      </c>
      <c r="DW37" s="139">
        <f t="shared" si="120"/>
        <v>1</v>
      </c>
      <c r="DX37" s="150">
        <v>16.699999999999999</v>
      </c>
      <c r="DY37" s="139">
        <f t="shared" si="121"/>
        <v>1</v>
      </c>
      <c r="DZ37" s="142">
        <f t="shared" si="122"/>
        <v>120.5</v>
      </c>
      <c r="EA37" s="194">
        <f t="shared" si="127"/>
        <v>3</v>
      </c>
    </row>
    <row r="38" ht="15">
      <c r="A38" s="254" t="s">
        <v>125</v>
      </c>
      <c r="B38" s="105" t="s">
        <v>89</v>
      </c>
      <c r="C38" s="109">
        <f t="shared" si="62"/>
        <v>4</v>
      </c>
      <c r="D38" s="105" t="s">
        <v>89</v>
      </c>
      <c r="E38" s="203">
        <f t="shared" si="63"/>
        <v>4</v>
      </c>
      <c r="F38" s="139" t="s">
        <v>90</v>
      </c>
      <c r="G38" s="139">
        <f t="shared" si="64"/>
        <v>0</v>
      </c>
      <c r="H38" s="139" t="s">
        <v>91</v>
      </c>
      <c r="I38" s="139">
        <f t="shared" si="65"/>
        <v>1</v>
      </c>
      <c r="J38" s="139" t="s">
        <v>91</v>
      </c>
      <c r="K38" s="139">
        <f t="shared" si="66"/>
        <v>0.5</v>
      </c>
      <c r="L38" s="139" t="s">
        <v>90</v>
      </c>
      <c r="M38" s="202">
        <f t="shared" si="67"/>
        <v>0</v>
      </c>
      <c r="N38" s="105" t="s">
        <v>89</v>
      </c>
      <c r="O38" s="109">
        <f t="shared" si="68"/>
        <v>4</v>
      </c>
      <c r="P38" s="105" t="s">
        <v>89</v>
      </c>
      <c r="Q38" s="109">
        <f t="shared" si="69"/>
        <v>0.5</v>
      </c>
      <c r="R38" s="105" t="s">
        <v>89</v>
      </c>
      <c r="S38" s="109">
        <f t="shared" si="70"/>
        <v>0.5</v>
      </c>
      <c r="T38" s="105" t="s">
        <v>89</v>
      </c>
      <c r="U38" s="109">
        <f t="shared" si="71"/>
        <v>0.5</v>
      </c>
      <c r="V38" s="105" t="s">
        <v>89</v>
      </c>
      <c r="W38" s="109">
        <f t="shared" si="72"/>
        <v>0.5</v>
      </c>
      <c r="X38" s="105" t="s">
        <v>89</v>
      </c>
      <c r="Y38" s="109">
        <f t="shared" si="73"/>
        <v>4</v>
      </c>
      <c r="Z38" s="105" t="s">
        <v>91</v>
      </c>
      <c r="AA38" s="109">
        <f t="shared" si="74"/>
        <v>0.5</v>
      </c>
      <c r="AB38" s="105" t="s">
        <v>89</v>
      </c>
      <c r="AC38" s="109">
        <f t="shared" si="75"/>
        <v>4</v>
      </c>
      <c r="AD38" s="105" t="s">
        <v>89</v>
      </c>
      <c r="AE38" s="203">
        <f t="shared" si="76"/>
        <v>4</v>
      </c>
      <c r="AF38" s="139">
        <v>1</v>
      </c>
      <c r="AG38" s="202">
        <f t="shared" si="77"/>
        <v>1</v>
      </c>
      <c r="AH38" s="105" t="s">
        <v>89</v>
      </c>
      <c r="AI38" s="109">
        <f t="shared" si="78"/>
        <v>4</v>
      </c>
      <c r="AJ38" s="105" t="s">
        <v>57</v>
      </c>
      <c r="AK38" s="107" t="s">
        <v>90</v>
      </c>
      <c r="AL38" s="107" t="s">
        <v>90</v>
      </c>
      <c r="AM38" s="139">
        <f t="shared" si="79"/>
        <v>4</v>
      </c>
      <c r="AN38" s="110">
        <v>89</v>
      </c>
      <c r="AO38" s="111">
        <f t="shared" si="80"/>
        <v>4</v>
      </c>
      <c r="AP38" s="112">
        <v>61.600000000000001</v>
      </c>
      <c r="AQ38" s="205">
        <f t="shared" si="81"/>
        <v>4</v>
      </c>
      <c r="AR38" s="265" t="s">
        <v>90</v>
      </c>
      <c r="AS38" s="205">
        <v>-2</v>
      </c>
      <c r="AT38" s="110">
        <v>1.8999999999999999</v>
      </c>
      <c r="AU38" s="206">
        <f t="shared" si="83"/>
        <v>0</v>
      </c>
      <c r="AV38" s="223">
        <v>12.1</v>
      </c>
      <c r="AW38" s="109">
        <f t="shared" si="84"/>
        <v>0</v>
      </c>
      <c r="AX38" s="105" t="s">
        <v>89</v>
      </c>
      <c r="AY38" s="109">
        <f t="shared" si="85"/>
        <v>4</v>
      </c>
      <c r="AZ38" s="105" t="s">
        <v>89</v>
      </c>
      <c r="BA38" s="109">
        <f t="shared" si="86"/>
        <v>0.5</v>
      </c>
      <c r="BB38" s="105" t="s">
        <v>89</v>
      </c>
      <c r="BC38" s="109">
        <f t="shared" si="87"/>
        <v>0.5</v>
      </c>
      <c r="BD38" s="105" t="s">
        <v>89</v>
      </c>
      <c r="BE38" s="109">
        <f t="shared" si="88"/>
        <v>0.5</v>
      </c>
      <c r="BF38" s="105" t="s">
        <v>89</v>
      </c>
      <c r="BG38" s="109">
        <f t="shared" si="89"/>
        <v>0.5</v>
      </c>
      <c r="BH38" s="105" t="s">
        <v>89</v>
      </c>
      <c r="BI38" s="109">
        <f t="shared" si="90"/>
        <v>0.5</v>
      </c>
      <c r="BJ38" s="105" t="s">
        <v>89</v>
      </c>
      <c r="BK38" s="203">
        <f t="shared" si="91"/>
        <v>4</v>
      </c>
      <c r="BL38" s="139" t="s">
        <v>90</v>
      </c>
      <c r="BM38" s="139">
        <f t="shared" si="92"/>
        <v>0</v>
      </c>
      <c r="BN38" s="139" t="s">
        <v>91</v>
      </c>
      <c r="BO38" s="139">
        <f t="shared" si="93"/>
        <v>1</v>
      </c>
      <c r="BP38" s="139" t="s">
        <v>90</v>
      </c>
      <c r="BQ38" s="202">
        <f t="shared" si="94"/>
        <v>0</v>
      </c>
      <c r="BR38" s="176">
        <v>4583.5</v>
      </c>
      <c r="BS38" s="115">
        <v>6458.7999999999993</v>
      </c>
      <c r="BT38" s="116">
        <f t="shared" si="95"/>
        <v>4</v>
      </c>
      <c r="BU38" s="178" t="s">
        <v>90</v>
      </c>
      <c r="BV38" s="117">
        <f t="shared" si="96"/>
        <v>0</v>
      </c>
      <c r="BW38" s="263" t="s">
        <v>90</v>
      </c>
      <c r="BX38" s="227">
        <f t="shared" si="97"/>
        <v>0</v>
      </c>
      <c r="BY38" s="264" t="s">
        <v>91</v>
      </c>
      <c r="BZ38" s="117">
        <f t="shared" si="98"/>
        <v>2</v>
      </c>
      <c r="CA38" s="264" t="s">
        <v>90</v>
      </c>
      <c r="CB38" s="117">
        <f t="shared" si="99"/>
        <v>0</v>
      </c>
      <c r="CC38" s="178" t="s">
        <v>90</v>
      </c>
      <c r="CD38" s="117">
        <f t="shared" si="100"/>
        <v>0</v>
      </c>
      <c r="CE38" s="178" t="s">
        <v>91</v>
      </c>
      <c r="CF38" s="117">
        <f t="shared" si="101"/>
        <v>4</v>
      </c>
      <c r="CG38" s="179">
        <v>277.13</v>
      </c>
      <c r="CH38" s="256">
        <v>310.56</v>
      </c>
      <c r="CI38" s="139">
        <f t="shared" si="102"/>
        <v>4</v>
      </c>
      <c r="CJ38" s="258">
        <v>277180</v>
      </c>
      <c r="CK38" s="181">
        <v>392731.71999999997</v>
      </c>
      <c r="CL38" s="123">
        <f t="shared" si="103"/>
        <v>4</v>
      </c>
      <c r="CM38" s="123" t="s">
        <v>90</v>
      </c>
      <c r="CN38" s="123">
        <f t="shared" si="104"/>
        <v>0</v>
      </c>
      <c r="CO38" s="123" t="s">
        <v>90</v>
      </c>
      <c r="CP38" s="123">
        <f t="shared" si="125"/>
        <v>0</v>
      </c>
      <c r="CQ38" s="123" t="s">
        <v>91</v>
      </c>
      <c r="CR38" s="123">
        <f t="shared" si="106"/>
        <v>0</v>
      </c>
      <c r="CS38" s="123" t="s">
        <v>90</v>
      </c>
      <c r="CT38" s="123">
        <f t="shared" si="107"/>
        <v>0</v>
      </c>
      <c r="CU38" s="121">
        <v>1052.155</v>
      </c>
      <c r="CV38" s="121">
        <v>111.81</v>
      </c>
      <c r="CW38" s="208">
        <f t="shared" si="108"/>
        <v>-2</v>
      </c>
      <c r="CX38" s="183">
        <v>122.90000000000001</v>
      </c>
      <c r="CY38" s="127">
        <f t="shared" si="109"/>
        <v>6</v>
      </c>
      <c r="CZ38" s="128">
        <v>7315658</v>
      </c>
      <c r="DA38" s="128">
        <v>12007087</v>
      </c>
      <c r="DB38" s="203">
        <f t="shared" ref="DB38:DB39" si="128">IF(DA38&lt;=CZ38,0,IF((((DA38/CI10)*100)-100)&lt;=5,4,6))</f>
        <v>4</v>
      </c>
      <c r="DC38" s="139">
        <v>0</v>
      </c>
      <c r="DD38" s="210" t="s">
        <v>89</v>
      </c>
      <c r="DE38" s="203">
        <f t="shared" si="111"/>
        <v>4</v>
      </c>
      <c r="DF38" s="157">
        <v>72.700000000000003</v>
      </c>
      <c r="DG38" s="211">
        <f t="shared" si="112"/>
        <v>4</v>
      </c>
      <c r="DH38" s="178" t="s">
        <v>57</v>
      </c>
      <c r="DI38" s="132">
        <f t="shared" si="113"/>
        <v>0</v>
      </c>
      <c r="DJ38" s="260" t="s">
        <v>89</v>
      </c>
      <c r="DK38" s="170">
        <f t="shared" si="114"/>
        <v>4</v>
      </c>
      <c r="DL38" s="260" t="s">
        <v>89</v>
      </c>
      <c r="DM38" s="170">
        <f t="shared" si="115"/>
        <v>4</v>
      </c>
      <c r="DN38" s="212" t="s">
        <v>90</v>
      </c>
      <c r="DO38" s="170">
        <f t="shared" si="116"/>
        <v>0</v>
      </c>
      <c r="DP38" s="212" t="s">
        <v>90</v>
      </c>
      <c r="DQ38" s="170">
        <f t="shared" si="117"/>
        <v>0</v>
      </c>
      <c r="DR38" s="150">
        <f>(50.9+52.3+47.7)/3</f>
        <v>50.29999999999999</v>
      </c>
      <c r="DS38" s="139">
        <f t="shared" si="118"/>
        <v>4</v>
      </c>
      <c r="DT38" s="150">
        <v>100</v>
      </c>
      <c r="DU38" s="139">
        <f t="shared" si="119"/>
        <v>4</v>
      </c>
      <c r="DV38" s="150">
        <v>50</v>
      </c>
      <c r="DW38" s="139">
        <f t="shared" si="120"/>
        <v>2</v>
      </c>
      <c r="DX38" s="150">
        <v>100</v>
      </c>
      <c r="DY38" s="139">
        <f t="shared" si="121"/>
        <v>4</v>
      </c>
      <c r="DZ38" s="142">
        <f t="shared" si="122"/>
        <v>110.5</v>
      </c>
      <c r="EA38" s="194">
        <f t="shared" si="127"/>
        <v>4</v>
      </c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C38" s="1"/>
      <c r="FD38" s="1"/>
    </row>
    <row r="39" ht="15">
      <c r="A39" s="254" t="s">
        <v>126</v>
      </c>
      <c r="B39" s="105" t="s">
        <v>89</v>
      </c>
      <c r="C39" s="109">
        <f t="shared" si="62"/>
        <v>4</v>
      </c>
      <c r="D39" s="105" t="s">
        <v>89</v>
      </c>
      <c r="E39" s="203">
        <f t="shared" si="63"/>
        <v>4</v>
      </c>
      <c r="F39" s="139" t="s">
        <v>90</v>
      </c>
      <c r="G39" s="139">
        <f t="shared" si="64"/>
        <v>0</v>
      </c>
      <c r="H39" s="139" t="s">
        <v>91</v>
      </c>
      <c r="I39" s="139">
        <f t="shared" si="65"/>
        <v>1</v>
      </c>
      <c r="J39" s="139" t="s">
        <v>91</v>
      </c>
      <c r="K39" s="139">
        <f t="shared" si="66"/>
        <v>0.5</v>
      </c>
      <c r="L39" s="139" t="s">
        <v>90</v>
      </c>
      <c r="M39" s="202">
        <f t="shared" si="67"/>
        <v>0</v>
      </c>
      <c r="N39" s="105" t="s">
        <v>89</v>
      </c>
      <c r="O39" s="109">
        <f t="shared" si="68"/>
        <v>4</v>
      </c>
      <c r="P39" s="105" t="s">
        <v>89</v>
      </c>
      <c r="Q39" s="109">
        <f t="shared" si="69"/>
        <v>0.5</v>
      </c>
      <c r="R39" s="105" t="s">
        <v>89</v>
      </c>
      <c r="S39" s="109">
        <f t="shared" si="70"/>
        <v>0.5</v>
      </c>
      <c r="T39" s="105" t="s">
        <v>89</v>
      </c>
      <c r="U39" s="109">
        <f t="shared" si="71"/>
        <v>0.5</v>
      </c>
      <c r="V39" s="105" t="s">
        <v>89</v>
      </c>
      <c r="W39" s="109">
        <f t="shared" si="72"/>
        <v>0.5</v>
      </c>
      <c r="X39" s="105" t="s">
        <v>89</v>
      </c>
      <c r="Y39" s="203">
        <f t="shared" si="73"/>
        <v>4</v>
      </c>
      <c r="Z39" s="204" t="s">
        <v>91</v>
      </c>
      <c r="AA39" s="202">
        <f t="shared" si="74"/>
        <v>0.5</v>
      </c>
      <c r="AB39" s="105" t="s">
        <v>89</v>
      </c>
      <c r="AC39" s="109">
        <f t="shared" si="75"/>
        <v>4</v>
      </c>
      <c r="AD39" s="105" t="s">
        <v>89</v>
      </c>
      <c r="AE39" s="203">
        <f t="shared" si="76"/>
        <v>4</v>
      </c>
      <c r="AF39" s="139">
        <v>0</v>
      </c>
      <c r="AG39" s="202">
        <f t="shared" si="77"/>
        <v>0</v>
      </c>
      <c r="AH39" s="105" t="s">
        <v>89</v>
      </c>
      <c r="AI39" s="109">
        <f t="shared" si="78"/>
        <v>4</v>
      </c>
      <c r="AJ39" s="105" t="s">
        <v>57</v>
      </c>
      <c r="AK39" s="107" t="s">
        <v>90</v>
      </c>
      <c r="AL39" s="107" t="s">
        <v>90</v>
      </c>
      <c r="AM39" s="139">
        <f t="shared" si="79"/>
        <v>4</v>
      </c>
      <c r="AN39" s="110">
        <v>100</v>
      </c>
      <c r="AO39" s="111">
        <f t="shared" si="80"/>
        <v>4</v>
      </c>
      <c r="AP39" s="112">
        <v>66.5</v>
      </c>
      <c r="AQ39" s="205">
        <f t="shared" si="81"/>
        <v>4</v>
      </c>
      <c r="AR39" s="265" t="s">
        <v>90</v>
      </c>
      <c r="AS39" s="205">
        <v>-2</v>
      </c>
      <c r="AT39" s="110">
        <v>2.6000000000000001</v>
      </c>
      <c r="AU39" s="206">
        <f t="shared" si="83"/>
        <v>0</v>
      </c>
      <c r="AV39" s="266">
        <v>8.4000000000000004</v>
      </c>
      <c r="AW39" s="109">
        <f t="shared" si="84"/>
        <v>2</v>
      </c>
      <c r="AX39" s="105" t="s">
        <v>89</v>
      </c>
      <c r="AY39" s="109">
        <f t="shared" si="85"/>
        <v>4</v>
      </c>
      <c r="AZ39" s="105" t="s">
        <v>89</v>
      </c>
      <c r="BA39" s="109">
        <f t="shared" si="86"/>
        <v>0.5</v>
      </c>
      <c r="BB39" s="105" t="s">
        <v>89</v>
      </c>
      <c r="BC39" s="109">
        <f t="shared" si="87"/>
        <v>0.5</v>
      </c>
      <c r="BD39" s="105" t="s">
        <v>89</v>
      </c>
      <c r="BE39" s="109">
        <f t="shared" si="88"/>
        <v>0.5</v>
      </c>
      <c r="BF39" s="105" t="s">
        <v>89</v>
      </c>
      <c r="BG39" s="109">
        <f t="shared" si="89"/>
        <v>0.5</v>
      </c>
      <c r="BH39" s="105" t="s">
        <v>89</v>
      </c>
      <c r="BI39" s="109">
        <f t="shared" si="90"/>
        <v>0.5</v>
      </c>
      <c r="BJ39" s="105" t="s">
        <v>89</v>
      </c>
      <c r="BK39" s="203">
        <f t="shared" si="91"/>
        <v>4</v>
      </c>
      <c r="BL39" s="139" t="s">
        <v>90</v>
      </c>
      <c r="BM39" s="139">
        <f t="shared" si="92"/>
        <v>0</v>
      </c>
      <c r="BN39" s="139" t="s">
        <v>91</v>
      </c>
      <c r="BO39" s="139">
        <f t="shared" si="93"/>
        <v>1</v>
      </c>
      <c r="BP39" s="139" t="s">
        <v>90</v>
      </c>
      <c r="BQ39" s="202">
        <f t="shared" si="94"/>
        <v>0</v>
      </c>
      <c r="BR39" s="114">
        <v>2948.6700000000001</v>
      </c>
      <c r="BS39" s="115">
        <v>5440.7739679999995</v>
      </c>
      <c r="BT39" s="116">
        <f t="shared" si="95"/>
        <v>4</v>
      </c>
      <c r="BU39" s="117" t="s">
        <v>90</v>
      </c>
      <c r="BV39" s="117">
        <f t="shared" si="96"/>
        <v>0</v>
      </c>
      <c r="BW39" s="117" t="s">
        <v>90</v>
      </c>
      <c r="BX39" s="267">
        <f t="shared" si="97"/>
        <v>0</v>
      </c>
      <c r="BY39" s="267" t="s">
        <v>91</v>
      </c>
      <c r="BZ39" s="117">
        <f t="shared" si="98"/>
        <v>2</v>
      </c>
      <c r="CA39" s="267" t="s">
        <v>90</v>
      </c>
      <c r="CB39" s="117">
        <f t="shared" si="99"/>
        <v>0</v>
      </c>
      <c r="CC39" s="117" t="s">
        <v>90</v>
      </c>
      <c r="CD39" s="117">
        <f t="shared" si="100"/>
        <v>0</v>
      </c>
      <c r="CE39" s="117" t="s">
        <v>90</v>
      </c>
      <c r="CF39" s="117">
        <f t="shared" si="101"/>
        <v>0</v>
      </c>
      <c r="CG39" s="179">
        <v>277.13</v>
      </c>
      <c r="CH39" s="256">
        <v>662.84000000000003</v>
      </c>
      <c r="CI39" s="139">
        <f t="shared" si="102"/>
        <v>4</v>
      </c>
      <c r="CJ39" s="181">
        <v>734955</v>
      </c>
      <c r="CK39" s="181">
        <v>543873.93999999994</v>
      </c>
      <c r="CL39" s="123">
        <f t="shared" si="103"/>
        <v>-2</v>
      </c>
      <c r="CM39" s="123" t="s">
        <v>90</v>
      </c>
      <c r="CN39" s="123">
        <f t="shared" si="104"/>
        <v>0</v>
      </c>
      <c r="CO39" s="123" t="s">
        <v>91</v>
      </c>
      <c r="CP39" s="123">
        <f t="shared" si="125"/>
        <v>4</v>
      </c>
      <c r="CQ39" s="123" t="s">
        <v>90</v>
      </c>
      <c r="CR39" s="123">
        <f t="shared" si="106"/>
        <v>0</v>
      </c>
      <c r="CS39" s="123" t="s">
        <v>90</v>
      </c>
      <c r="CT39" s="123">
        <f t="shared" si="107"/>
        <v>0</v>
      </c>
      <c r="CU39" s="121">
        <v>4465.8860000000004</v>
      </c>
      <c r="CV39" s="121">
        <v>1316.0799999999999</v>
      </c>
      <c r="CW39" s="208">
        <f t="shared" si="108"/>
        <v>-2</v>
      </c>
      <c r="CX39" s="183">
        <v>123.09999999999999</v>
      </c>
      <c r="CY39" s="127">
        <f t="shared" si="109"/>
        <v>6</v>
      </c>
      <c r="CZ39" s="128">
        <v>2457396</v>
      </c>
      <c r="DA39" s="128">
        <v>5014897</v>
      </c>
      <c r="DB39" s="203">
        <f t="shared" si="128"/>
        <v>4</v>
      </c>
      <c r="DC39" s="139">
        <v>-2</v>
      </c>
      <c r="DD39" s="210" t="s">
        <v>89</v>
      </c>
      <c r="DE39" s="203">
        <f t="shared" si="111"/>
        <v>4</v>
      </c>
      <c r="DF39" s="157">
        <v>97.799999999999997</v>
      </c>
      <c r="DG39" s="211">
        <f t="shared" si="112"/>
        <v>4</v>
      </c>
      <c r="DH39" s="117" t="s">
        <v>89</v>
      </c>
      <c r="DI39" s="132">
        <f t="shared" si="113"/>
        <v>1</v>
      </c>
      <c r="DJ39" s="133" t="s">
        <v>89</v>
      </c>
      <c r="DK39" s="170">
        <f t="shared" si="114"/>
        <v>4</v>
      </c>
      <c r="DL39" s="133" t="s">
        <v>89</v>
      </c>
      <c r="DM39" s="170">
        <f t="shared" si="115"/>
        <v>4</v>
      </c>
      <c r="DN39" s="170" t="s">
        <v>90</v>
      </c>
      <c r="DO39" s="170">
        <f t="shared" si="116"/>
        <v>0</v>
      </c>
      <c r="DP39" s="170" t="s">
        <v>91</v>
      </c>
      <c r="DQ39" s="170">
        <f t="shared" si="117"/>
        <v>0</v>
      </c>
      <c r="DR39" s="150">
        <f>(41.3+44.7+40.4)/3</f>
        <v>42.133333333333333</v>
      </c>
      <c r="DS39" s="268">
        <f t="shared" si="118"/>
        <v>2</v>
      </c>
      <c r="DT39" s="269">
        <v>100</v>
      </c>
      <c r="DU39" s="127">
        <f t="shared" si="119"/>
        <v>4</v>
      </c>
      <c r="DV39" s="270">
        <v>0</v>
      </c>
      <c r="DW39" s="139">
        <f t="shared" si="120"/>
        <v>-2</v>
      </c>
      <c r="DX39" s="150">
        <v>50</v>
      </c>
      <c r="DY39" s="271">
        <f t="shared" si="121"/>
        <v>4</v>
      </c>
      <c r="DZ39" s="142">
        <f t="shared" si="122"/>
        <v>98.5</v>
      </c>
      <c r="EA39" s="194">
        <f t="shared" si="127"/>
        <v>5</v>
      </c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</sheetData>
  <sortState ref="A4:EA39">
    <sortCondition ref="EA4:EA39"/>
  </sortState>
  <mergeCells count="40">
    <mergeCell ref="A1:A3"/>
    <mergeCell ref="B1:AE1"/>
    <mergeCell ref="AF1:AW1"/>
    <mergeCell ref="AX1:CF1"/>
    <mergeCell ref="CG1:DQ1"/>
    <mergeCell ref="B2:C2"/>
    <mergeCell ref="D2:M2"/>
    <mergeCell ref="N2:W2"/>
    <mergeCell ref="X2:AA2"/>
    <mergeCell ref="AB2:AC2"/>
    <mergeCell ref="AD2:AE2"/>
    <mergeCell ref="AF2:AG2"/>
    <mergeCell ref="AH2:AI2"/>
    <mergeCell ref="AJ2:AM2"/>
    <mergeCell ref="AN2:AO2"/>
    <mergeCell ref="AP2:AQ2"/>
    <mergeCell ref="AR2:AS2"/>
    <mergeCell ref="AT2:AU2"/>
    <mergeCell ref="AV2:AW2"/>
    <mergeCell ref="AX2:BI2"/>
    <mergeCell ref="BJ2:BQ2"/>
    <mergeCell ref="BR2:BT2"/>
    <mergeCell ref="BU2:CB2"/>
    <mergeCell ref="CC2:CF2"/>
    <mergeCell ref="CG2:CI2"/>
    <mergeCell ref="CJ2:CL2"/>
    <mergeCell ref="CM2:CT2"/>
    <mergeCell ref="CU2:CW2"/>
    <mergeCell ref="CX2:CY2"/>
    <mergeCell ref="CZ2:DB2"/>
    <mergeCell ref="DD2:DE2"/>
    <mergeCell ref="DF2:DG2"/>
    <mergeCell ref="DH2:DI2"/>
    <mergeCell ref="DJ2:DK2"/>
    <mergeCell ref="DL2:DM2"/>
    <mergeCell ref="DN2:DQ2"/>
    <mergeCell ref="DR2:DS2"/>
    <mergeCell ref="DT2:DU2"/>
    <mergeCell ref="DV2:DW2"/>
    <mergeCell ref="DX2:DY2"/>
  </mergeCells>
  <hyperlinks>
    <hyperlink location="'2492-2501'!A499" ref="A36"/>
    <hyperlink location="'2492-2501'!A499" ref="A39"/>
  </hyperlinks>
  <printOptions headings="0" gridLines="0"/>
  <pageMargins left="0.70866141732283461" right="0.70866141732283461" top="0.74803149606299213" bottom="0.74803149606299213" header="0.31496062992125984" footer="0.31496062992125984"/>
  <pageSetup paperSize="9" scale="38" fitToWidth="7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A1" zoomScale="70" workbookViewId="0">
      <selection activeCell="A1" activeCellId="0" sqref="A1"/>
    </sheetView>
  </sheetViews>
  <sheetFormatPr defaultRowHeight="14.25"/>
  <cols>
    <col customWidth="1" min="1" max="33" width="15.33203125"/>
    <col customWidth="1" min="34" max="35" width="24.109375"/>
    <col customWidth="1" min="36" max="129" width="15.33203125"/>
    <col customWidth="1" hidden="1" min="130" max="130" width="15.33203125"/>
    <col customWidth="1" min="131" max="131" width="15.33203125"/>
    <col customWidth="1" min="132" max="132" width="15.6640625"/>
  </cols>
  <sheetData>
    <row r="1" ht="21.75">
      <c r="A1" s="272" t="s">
        <v>127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  <c r="EA1" s="272"/>
    </row>
    <row r="2" ht="15">
      <c r="A2" s="9" t="s">
        <v>0</v>
      </c>
      <c r="B2" s="10" t="s">
        <v>1</v>
      </c>
      <c r="C2" s="14"/>
      <c r="D2" s="12"/>
      <c r="E2" s="12"/>
      <c r="F2" s="12"/>
      <c r="G2" s="12"/>
      <c r="H2" s="12"/>
      <c r="I2" s="12"/>
      <c r="J2" s="12"/>
      <c r="K2" s="12"/>
      <c r="L2" s="12"/>
      <c r="M2" s="1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  <c r="AF2" s="16" t="s">
        <v>2</v>
      </c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273"/>
      <c r="AU2" s="273"/>
      <c r="AV2" s="273"/>
      <c r="AW2" s="274"/>
      <c r="AX2" s="21" t="s">
        <v>3</v>
      </c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5"/>
      <c r="CG2" s="275" t="s">
        <v>4</v>
      </c>
      <c r="CH2" s="276"/>
      <c r="CI2" s="276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6"/>
      <c r="CV2" s="276"/>
      <c r="CW2" s="276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8"/>
      <c r="DS2" s="28"/>
      <c r="DT2" s="28"/>
      <c r="DU2" s="28"/>
      <c r="DV2" s="28"/>
      <c r="DW2" s="28"/>
      <c r="DX2" s="28"/>
      <c r="DY2" s="28"/>
      <c r="DZ2" s="277"/>
      <c r="EA2" s="278"/>
    </row>
    <row r="3" ht="209.25" customHeight="1">
      <c r="A3" s="31"/>
      <c r="B3" s="32" t="s">
        <v>5</v>
      </c>
      <c r="C3" s="279"/>
      <c r="D3" s="34" t="s">
        <v>6</v>
      </c>
      <c r="E3" s="36"/>
      <c r="F3" s="36"/>
      <c r="G3" s="36"/>
      <c r="H3" s="36"/>
      <c r="I3" s="36"/>
      <c r="J3" s="36"/>
      <c r="K3" s="36"/>
      <c r="L3" s="36"/>
      <c r="M3" s="280"/>
      <c r="N3" s="281" t="s">
        <v>7</v>
      </c>
      <c r="O3" s="38"/>
      <c r="P3" s="38"/>
      <c r="Q3" s="38"/>
      <c r="R3" s="38"/>
      <c r="S3" s="38"/>
      <c r="T3" s="38"/>
      <c r="U3" s="38"/>
      <c r="V3" s="38"/>
      <c r="W3" s="39"/>
      <c r="X3" s="32" t="s">
        <v>8</v>
      </c>
      <c r="Y3" s="38"/>
      <c r="Z3" s="38"/>
      <c r="AA3" s="39"/>
      <c r="AB3" s="32" t="s">
        <v>9</v>
      </c>
      <c r="AC3" s="39"/>
      <c r="AD3" s="40" t="s">
        <v>10</v>
      </c>
      <c r="AE3" s="41"/>
      <c r="AF3" s="42" t="s">
        <v>11</v>
      </c>
      <c r="AG3" s="43"/>
      <c r="AH3" s="42" t="s">
        <v>12</v>
      </c>
      <c r="AI3" s="43"/>
      <c r="AJ3" s="46" t="s">
        <v>13</v>
      </c>
      <c r="AK3" s="44"/>
      <c r="AL3" s="44"/>
      <c r="AM3" s="45"/>
      <c r="AN3" s="46" t="s">
        <v>14</v>
      </c>
      <c r="AO3" s="45"/>
      <c r="AP3" s="46" t="s">
        <v>15</v>
      </c>
      <c r="AQ3" s="45"/>
      <c r="AR3" s="46" t="s">
        <v>16</v>
      </c>
      <c r="AS3" s="282"/>
      <c r="AT3" s="283" t="s">
        <v>17</v>
      </c>
      <c r="AU3" s="284"/>
      <c r="AV3" s="283" t="s">
        <v>18</v>
      </c>
      <c r="AW3" s="284"/>
      <c r="AX3" s="285" t="s">
        <v>19</v>
      </c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286"/>
      <c r="BJ3" s="287" t="s">
        <v>20</v>
      </c>
      <c r="BK3" s="288"/>
      <c r="BL3" s="288"/>
      <c r="BM3" s="288"/>
      <c r="BN3" s="288"/>
      <c r="BO3" s="288"/>
      <c r="BP3" s="288"/>
      <c r="BQ3" s="289"/>
      <c r="BR3" s="50" t="s">
        <v>21</v>
      </c>
      <c r="BS3" s="51"/>
      <c r="BT3" s="52"/>
      <c r="BU3" s="50" t="s">
        <v>22</v>
      </c>
      <c r="BV3" s="51"/>
      <c r="BW3" s="51"/>
      <c r="BX3" s="51"/>
      <c r="BY3" s="51"/>
      <c r="BZ3" s="51"/>
      <c r="CA3" s="51"/>
      <c r="CB3" s="52"/>
      <c r="CC3" s="50" t="s">
        <v>23</v>
      </c>
      <c r="CD3" s="51"/>
      <c r="CE3" s="51"/>
      <c r="CF3" s="290"/>
      <c r="CG3" s="53" t="s">
        <v>24</v>
      </c>
      <c r="CH3" s="54"/>
      <c r="CI3" s="291"/>
      <c r="CJ3" s="61" t="s">
        <v>25</v>
      </c>
      <c r="CK3" s="60"/>
      <c r="CL3" s="62"/>
      <c r="CM3" s="56" t="s">
        <v>26</v>
      </c>
      <c r="CN3" s="57"/>
      <c r="CO3" s="57"/>
      <c r="CP3" s="57"/>
      <c r="CQ3" s="57"/>
      <c r="CR3" s="57"/>
      <c r="CS3" s="57"/>
      <c r="CT3" s="58"/>
      <c r="CU3" s="292" t="s">
        <v>27</v>
      </c>
      <c r="CV3" s="54"/>
      <c r="CW3" s="59"/>
      <c r="CX3" s="293" t="s">
        <v>28</v>
      </c>
      <c r="CY3" s="62"/>
      <c r="CZ3" s="61" t="s">
        <v>29</v>
      </c>
      <c r="DA3" s="60"/>
      <c r="DB3" s="62"/>
      <c r="DC3" s="55" t="s">
        <v>30</v>
      </c>
      <c r="DD3" s="61" t="s">
        <v>31</v>
      </c>
      <c r="DE3" s="62"/>
      <c r="DF3" s="61" t="s">
        <v>32</v>
      </c>
      <c r="DG3" s="62"/>
      <c r="DH3" s="61" t="s">
        <v>33</v>
      </c>
      <c r="DI3" s="62"/>
      <c r="DJ3" s="61" t="s">
        <v>34</v>
      </c>
      <c r="DK3" s="62"/>
      <c r="DL3" s="61" t="s">
        <v>35</v>
      </c>
      <c r="DM3" s="62"/>
      <c r="DN3" s="61" t="s">
        <v>36</v>
      </c>
      <c r="DO3" s="60"/>
      <c r="DP3" s="60"/>
      <c r="DQ3" s="294"/>
      <c r="DR3" s="295" t="s">
        <v>37</v>
      </c>
      <c r="DS3" s="296"/>
      <c r="DT3" s="295" t="s">
        <v>38</v>
      </c>
      <c r="DU3" s="296"/>
      <c r="DV3" s="295" t="s">
        <v>39</v>
      </c>
      <c r="DW3" s="296"/>
      <c r="DX3" s="295" t="s">
        <v>40</v>
      </c>
      <c r="DY3" s="296"/>
      <c r="DZ3" s="297" t="s">
        <v>41</v>
      </c>
      <c r="EA3" s="66" t="s">
        <v>42</v>
      </c>
    </row>
    <row r="4" ht="184.5" customHeight="1">
      <c r="A4" s="68"/>
      <c r="B4" s="69" t="s">
        <v>43</v>
      </c>
      <c r="C4" s="69" t="s">
        <v>44</v>
      </c>
      <c r="D4" s="298" t="s">
        <v>43</v>
      </c>
      <c r="E4" s="298" t="s">
        <v>44</v>
      </c>
      <c r="F4" s="298" t="s">
        <v>45</v>
      </c>
      <c r="G4" s="298" t="s">
        <v>44</v>
      </c>
      <c r="H4" s="298" t="s">
        <v>46</v>
      </c>
      <c r="I4" s="298" t="s">
        <v>44</v>
      </c>
      <c r="J4" s="298" t="s">
        <v>47</v>
      </c>
      <c r="K4" s="298" t="s">
        <v>44</v>
      </c>
      <c r="L4" s="298" t="s">
        <v>48</v>
      </c>
      <c r="M4" s="298" t="s">
        <v>44</v>
      </c>
      <c r="N4" s="71" t="s">
        <v>43</v>
      </c>
      <c r="O4" s="71" t="s">
        <v>44</v>
      </c>
      <c r="P4" s="71" t="s">
        <v>49</v>
      </c>
      <c r="Q4" s="71" t="s">
        <v>44</v>
      </c>
      <c r="R4" s="71" t="s">
        <v>50</v>
      </c>
      <c r="S4" s="71" t="s">
        <v>44</v>
      </c>
      <c r="T4" s="71" t="s">
        <v>51</v>
      </c>
      <c r="U4" s="71" t="s">
        <v>44</v>
      </c>
      <c r="V4" s="71" t="s">
        <v>52</v>
      </c>
      <c r="W4" s="71" t="s">
        <v>44</v>
      </c>
      <c r="X4" s="71" t="s">
        <v>53</v>
      </c>
      <c r="Y4" s="71" t="s">
        <v>44</v>
      </c>
      <c r="Z4" s="71" t="s">
        <v>54</v>
      </c>
      <c r="AA4" s="71" t="s">
        <v>44</v>
      </c>
      <c r="AB4" s="71" t="s">
        <v>55</v>
      </c>
      <c r="AC4" s="71" t="s">
        <v>44</v>
      </c>
      <c r="AD4" s="71" t="s">
        <v>55</v>
      </c>
      <c r="AE4" s="71" t="s">
        <v>44</v>
      </c>
      <c r="AF4" s="72" t="s">
        <v>56</v>
      </c>
      <c r="AG4" s="72" t="s">
        <v>44</v>
      </c>
      <c r="AH4" s="72" t="s">
        <v>55</v>
      </c>
      <c r="AI4" s="72" t="s">
        <v>44</v>
      </c>
      <c r="AJ4" s="72" t="s">
        <v>57</v>
      </c>
      <c r="AK4" s="72" t="s">
        <v>58</v>
      </c>
      <c r="AL4" s="72" t="s">
        <v>59</v>
      </c>
      <c r="AM4" s="299" t="s">
        <v>44</v>
      </c>
      <c r="AN4" s="299" t="s">
        <v>60</v>
      </c>
      <c r="AO4" s="72" t="s">
        <v>44</v>
      </c>
      <c r="AP4" s="299" t="s">
        <v>61</v>
      </c>
      <c r="AQ4" s="72" t="s">
        <v>44</v>
      </c>
      <c r="AR4" s="299" t="s">
        <v>62</v>
      </c>
      <c r="AS4" s="72" t="s">
        <v>44</v>
      </c>
      <c r="AT4" s="300" t="s">
        <v>63</v>
      </c>
      <c r="AU4" s="301" t="s">
        <v>44</v>
      </c>
      <c r="AV4" s="302" t="s">
        <v>64</v>
      </c>
      <c r="AW4" s="303" t="s">
        <v>44</v>
      </c>
      <c r="AX4" s="78" t="s">
        <v>55</v>
      </c>
      <c r="AY4" s="78" t="s">
        <v>44</v>
      </c>
      <c r="AZ4" s="78" t="s">
        <v>65</v>
      </c>
      <c r="BA4" s="78" t="s">
        <v>44</v>
      </c>
      <c r="BB4" s="78" t="s">
        <v>66</v>
      </c>
      <c r="BC4" s="78" t="s">
        <v>44</v>
      </c>
      <c r="BD4" s="78" t="s">
        <v>67</v>
      </c>
      <c r="BE4" s="78" t="s">
        <v>44</v>
      </c>
      <c r="BF4" s="78" t="s">
        <v>68</v>
      </c>
      <c r="BG4" s="78" t="s">
        <v>44</v>
      </c>
      <c r="BH4" s="78" t="s">
        <v>69</v>
      </c>
      <c r="BI4" s="78" t="s">
        <v>44</v>
      </c>
      <c r="BJ4" s="304" t="s">
        <v>55</v>
      </c>
      <c r="BK4" s="304" t="s">
        <v>44</v>
      </c>
      <c r="BL4" s="304" t="s">
        <v>70</v>
      </c>
      <c r="BM4" s="304" t="s">
        <v>44</v>
      </c>
      <c r="BN4" s="304" t="s">
        <v>71</v>
      </c>
      <c r="BO4" s="304" t="s">
        <v>44</v>
      </c>
      <c r="BP4" s="304" t="s">
        <v>72</v>
      </c>
      <c r="BQ4" s="305" t="s">
        <v>44</v>
      </c>
      <c r="BR4" s="81" t="s">
        <v>73</v>
      </c>
      <c r="BS4" s="81" t="s">
        <v>63</v>
      </c>
      <c r="BT4" s="82" t="s">
        <v>44</v>
      </c>
      <c r="BU4" s="306" t="s">
        <v>74</v>
      </c>
      <c r="BV4" s="306" t="s">
        <v>44</v>
      </c>
      <c r="BW4" s="307" t="s">
        <v>75</v>
      </c>
      <c r="BX4" s="306" t="s">
        <v>44</v>
      </c>
      <c r="BY4" s="307" t="s">
        <v>76</v>
      </c>
      <c r="BZ4" s="306" t="s">
        <v>44</v>
      </c>
      <c r="CA4" s="306" t="s">
        <v>77</v>
      </c>
      <c r="CB4" s="306" t="s">
        <v>44</v>
      </c>
      <c r="CC4" s="308" t="s">
        <v>78</v>
      </c>
      <c r="CD4" s="304" t="s">
        <v>44</v>
      </c>
      <c r="CE4" s="304" t="s">
        <v>79</v>
      </c>
      <c r="CF4" s="309" t="s">
        <v>44</v>
      </c>
      <c r="CG4" s="310" t="s">
        <v>80</v>
      </c>
      <c r="CH4" s="310" t="s">
        <v>63</v>
      </c>
      <c r="CI4" s="93" t="s">
        <v>44</v>
      </c>
      <c r="CJ4" s="311" t="s">
        <v>73</v>
      </c>
      <c r="CK4" s="311" t="s">
        <v>63</v>
      </c>
      <c r="CL4" s="312" t="s">
        <v>44</v>
      </c>
      <c r="CM4" s="90" t="s">
        <v>81</v>
      </c>
      <c r="CN4" s="90" t="s">
        <v>44</v>
      </c>
      <c r="CO4" s="91" t="s">
        <v>75</v>
      </c>
      <c r="CP4" s="91" t="s">
        <v>44</v>
      </c>
      <c r="CQ4" s="91" t="s">
        <v>76</v>
      </c>
      <c r="CR4" s="91" t="s">
        <v>44</v>
      </c>
      <c r="CS4" s="91" t="s">
        <v>82</v>
      </c>
      <c r="CT4" s="91" t="s">
        <v>44</v>
      </c>
      <c r="CU4" s="313" t="s">
        <v>73</v>
      </c>
      <c r="CV4" s="310" t="s">
        <v>63</v>
      </c>
      <c r="CW4" s="314" t="s">
        <v>44</v>
      </c>
      <c r="CX4" s="315" t="s">
        <v>83</v>
      </c>
      <c r="CY4" s="95" t="s">
        <v>44</v>
      </c>
      <c r="CZ4" s="96" t="s">
        <v>73</v>
      </c>
      <c r="DA4" s="97" t="s">
        <v>63</v>
      </c>
      <c r="DB4" s="90" t="s">
        <v>44</v>
      </c>
      <c r="DC4" s="90" t="s">
        <v>63</v>
      </c>
      <c r="DD4" s="90" t="s">
        <v>84</v>
      </c>
      <c r="DE4" s="90" t="s">
        <v>44</v>
      </c>
      <c r="DF4" s="90" t="s">
        <v>85</v>
      </c>
      <c r="DG4" s="90" t="s">
        <v>44</v>
      </c>
      <c r="DH4" s="316" t="s">
        <v>84</v>
      </c>
      <c r="DI4" s="90" t="s">
        <v>44</v>
      </c>
      <c r="DJ4" s="90" t="s">
        <v>84</v>
      </c>
      <c r="DK4" s="90" t="s">
        <v>44</v>
      </c>
      <c r="DL4" s="90" t="s">
        <v>84</v>
      </c>
      <c r="DM4" s="90" t="s">
        <v>44</v>
      </c>
      <c r="DN4" s="98" t="s">
        <v>86</v>
      </c>
      <c r="DO4" s="98" t="s">
        <v>44</v>
      </c>
      <c r="DP4" s="98" t="s">
        <v>87</v>
      </c>
      <c r="DQ4" s="317" t="s">
        <v>44</v>
      </c>
      <c r="DR4" s="100" t="s">
        <v>63</v>
      </c>
      <c r="DS4" s="100" t="s">
        <v>44</v>
      </c>
      <c r="DT4" s="100" t="s">
        <v>63</v>
      </c>
      <c r="DU4" s="100" t="s">
        <v>44</v>
      </c>
      <c r="DV4" s="100" t="s">
        <v>63</v>
      </c>
      <c r="DW4" s="102" t="s">
        <v>44</v>
      </c>
      <c r="DX4" s="100" t="s">
        <v>63</v>
      </c>
      <c r="DY4" s="100" t="s">
        <v>44</v>
      </c>
      <c r="DZ4" s="318"/>
      <c r="EA4" s="318"/>
    </row>
    <row r="5" s="319" customFormat="1">
      <c r="A5" s="320" t="s">
        <v>88</v>
      </c>
      <c r="B5" s="321" t="s">
        <v>89</v>
      </c>
      <c r="C5" s="321">
        <f t="shared" ref="C5:C9" si="129">IF(B5="да",4,0)</f>
        <v>4</v>
      </c>
      <c r="D5" s="321" t="s">
        <v>89</v>
      </c>
      <c r="E5" s="321">
        <f t="shared" ref="E5:E9" si="130">IF(D5="да",4,0)</f>
        <v>4</v>
      </c>
      <c r="F5" s="321" t="s">
        <v>90</v>
      </c>
      <c r="G5" s="321">
        <f t="shared" ref="G5:G9" si="131">IF(F5="+",0.5,0)</f>
        <v>0</v>
      </c>
      <c r="H5" s="321" t="s">
        <v>91</v>
      </c>
      <c r="I5" s="321">
        <f t="shared" ref="I5:I9" si="132">IF(H5="+",1,0)</f>
        <v>1</v>
      </c>
      <c r="J5" s="321" t="s">
        <v>90</v>
      </c>
      <c r="K5" s="321">
        <f t="shared" ref="K5:K9" si="133">IF(J5="+",0.5,0)</f>
        <v>0</v>
      </c>
      <c r="L5" s="321" t="s">
        <v>91</v>
      </c>
      <c r="M5" s="321">
        <f t="shared" ref="M5:M9" si="134">IF(L5="+",1,0)</f>
        <v>1</v>
      </c>
      <c r="N5" s="321" t="s">
        <v>89</v>
      </c>
      <c r="O5" s="321">
        <f t="shared" ref="O5:O9" si="135">IF(N5="да",4,0)</f>
        <v>4</v>
      </c>
      <c r="P5" s="321" t="s">
        <v>89</v>
      </c>
      <c r="Q5" s="321">
        <f t="shared" ref="Q5:Q9" si="136">IF(P5="да",0.5,0)</f>
        <v>0.5</v>
      </c>
      <c r="R5" s="321" t="s">
        <v>89</v>
      </c>
      <c r="S5" s="321">
        <f t="shared" ref="S5:S9" si="137">IF(R5="да",0.5,0)</f>
        <v>0.5</v>
      </c>
      <c r="T5" s="321" t="s">
        <v>89</v>
      </c>
      <c r="U5" s="321">
        <f t="shared" ref="U5:U9" si="138">IF(T5="да",0.5,0)</f>
        <v>0.5</v>
      </c>
      <c r="V5" s="321" t="s">
        <v>89</v>
      </c>
      <c r="W5" s="321">
        <f t="shared" ref="W5:W9" si="139">IF(V5="да",0.5,0)</f>
        <v>0.5</v>
      </c>
      <c r="X5" s="321" t="s">
        <v>89</v>
      </c>
      <c r="Y5" s="321">
        <f t="shared" ref="Y5:Y9" si="140">IF(X5="да",4,0)</f>
        <v>4</v>
      </c>
      <c r="Z5" s="321" t="s">
        <v>91</v>
      </c>
      <c r="AA5" s="321">
        <f t="shared" ref="AA5:AA9" si="141">IF(Z5="+",0.5,0)</f>
        <v>0.5</v>
      </c>
      <c r="AB5" s="321" t="s">
        <v>89</v>
      </c>
      <c r="AC5" s="321">
        <f t="shared" ref="AC5:AC9" si="142">IF(AB5="да",4,0)</f>
        <v>4</v>
      </c>
      <c r="AD5" s="321" t="s">
        <v>89</v>
      </c>
      <c r="AE5" s="321">
        <f t="shared" ref="AE5:AE9" si="143">IF(AD5="да",4,0)</f>
        <v>4</v>
      </c>
      <c r="AF5" s="321">
        <v>14</v>
      </c>
      <c r="AG5" s="321">
        <f t="shared" ref="AG5:AG9" si="144">AF5</f>
        <v>14</v>
      </c>
      <c r="AH5" s="321" t="s">
        <v>89</v>
      </c>
      <c r="AI5" s="321">
        <f t="shared" ref="AI5:AI9" si="145">IF(AH5="да",4,0)</f>
        <v>4</v>
      </c>
      <c r="AJ5" s="321" t="s">
        <v>90</v>
      </c>
      <c r="AK5" s="321" t="s">
        <v>89</v>
      </c>
      <c r="AL5" s="322" t="s">
        <v>90</v>
      </c>
      <c r="AM5" s="323">
        <f t="shared" ref="AM5:AM9" si="146">IF(AJ5="нет",4,IF(AK5="да",0,IF(AL5="да",-2,)))</f>
        <v>0</v>
      </c>
      <c r="AN5" s="324">
        <v>99.700000000000003</v>
      </c>
      <c r="AO5" s="325">
        <f t="shared" ref="AO5:AO9" si="147">IF(AN5&lt;=19.99,-2,IF(AN5&lt;=24.99,0,IF(AN5&gt;=25,4)))</f>
        <v>4</v>
      </c>
      <c r="AP5" s="326">
        <v>73.299999999999997</v>
      </c>
      <c r="AQ5" s="325">
        <f t="shared" ref="AQ5:AQ9" si="148">IF(AP5&lt;=14.99,-2,IF(AP5&lt;=24.99,0,IF(AP5&lt;=34.99,2,IF(AP5&gt;=35,4))))</f>
        <v>4</v>
      </c>
      <c r="AR5" s="324">
        <v>3.2000000000000002</v>
      </c>
      <c r="AS5" s="325">
        <f t="shared" ref="AS5:AS9" si="149">IF(AR5&lt;=0.99,-2,IF(AR5&lt;=1.99,0,IF(AR5&gt;=1.99,4)))</f>
        <v>4</v>
      </c>
      <c r="AT5" s="324">
        <v>2.8999999999999999</v>
      </c>
      <c r="AU5" s="327">
        <f t="shared" ref="AU5:AU8" si="150">IF(AT5&lt;=0.99,-2,IF(AT5&lt;=2.79,0,IF(AT5&gt;=2.8,4)))</f>
        <v>4</v>
      </c>
      <c r="AV5" s="328">
        <v>9.6999999999999993</v>
      </c>
      <c r="AW5" s="321">
        <f t="shared" ref="AW5:AW9" si="151">IF(AV5&lt;=9.99,2,IF(AV5&lt;=24.99,0,IF(AV5&gt;=25,-4)))</f>
        <v>2</v>
      </c>
      <c r="AX5" s="321" t="s">
        <v>89</v>
      </c>
      <c r="AY5" s="321">
        <f t="shared" ref="AY5:AY9" si="152">IF(AX5="да",4,0)</f>
        <v>4</v>
      </c>
      <c r="AZ5" s="321" t="s">
        <v>89</v>
      </c>
      <c r="BA5" s="321">
        <f t="shared" ref="BA5:BA9" si="153">IF(AZ5="да",0.5,0)</f>
        <v>0.5</v>
      </c>
      <c r="BB5" s="321" t="s">
        <v>89</v>
      </c>
      <c r="BC5" s="321">
        <f t="shared" ref="BC5:BC9" si="154">IF(BB5="да",0.5,0)</f>
        <v>0.5</v>
      </c>
      <c r="BD5" s="321" t="s">
        <v>89</v>
      </c>
      <c r="BE5" s="321">
        <f t="shared" ref="BE5:BE9" si="155">IF(BD5="да",0.5,0)</f>
        <v>0.5</v>
      </c>
      <c r="BF5" s="321" t="s">
        <v>89</v>
      </c>
      <c r="BG5" s="321">
        <f t="shared" ref="BG5:BG9" si="156">IF(BF5="да",0.5,0)</f>
        <v>0.5</v>
      </c>
      <c r="BH5" s="321" t="s">
        <v>89</v>
      </c>
      <c r="BI5" s="321">
        <f t="shared" ref="BI5:BI9" si="157">IF(BH5="да",0.5,0)</f>
        <v>0.5</v>
      </c>
      <c r="BJ5" s="321" t="s">
        <v>89</v>
      </c>
      <c r="BK5" s="321">
        <f t="shared" ref="BK5:BK9" si="158">IF(BJ5="да",4,0)</f>
        <v>4</v>
      </c>
      <c r="BL5" s="321" t="s">
        <v>90</v>
      </c>
      <c r="BM5" s="321">
        <f t="shared" ref="BM5:BM9" si="159">IF(BL5="+",0.5,0)</f>
        <v>0</v>
      </c>
      <c r="BN5" s="321" t="s">
        <v>90</v>
      </c>
      <c r="BO5" s="321">
        <f t="shared" ref="BO5:BO9" si="160">IF(BN5="+",1,0)</f>
        <v>0</v>
      </c>
      <c r="BP5" s="321" t="s">
        <v>91</v>
      </c>
      <c r="BQ5" s="329">
        <f t="shared" ref="BQ5:BQ9" si="161">IF(BP5="+",1.5,0)</f>
        <v>1.5</v>
      </c>
      <c r="BR5" s="324">
        <v>60120</v>
      </c>
      <c r="BS5" s="328">
        <v>69962</v>
      </c>
      <c r="BT5" s="330">
        <f t="shared" ref="BT5:BT9" si="162">IF(BS5&lt;BR5,-2,IF(BS5=BR5,0,IF((((BS5/BR5)*100)-100)&lt;=5,2,4)))</f>
        <v>4</v>
      </c>
      <c r="BU5" s="331" t="s">
        <v>91</v>
      </c>
      <c r="BV5" s="331">
        <f t="shared" ref="BV5:BV9" si="163">IF(BU5="+",6,0)</f>
        <v>6</v>
      </c>
      <c r="BW5" s="331" t="s">
        <v>90</v>
      </c>
      <c r="BX5" s="331">
        <f t="shared" ref="BX5:BX9" si="164">IF(BW5="+",4,0)</f>
        <v>0</v>
      </c>
      <c r="BY5" s="331" t="s">
        <v>90</v>
      </c>
      <c r="BZ5" s="331">
        <f t="shared" ref="BZ5:BZ9" si="165">IF(BY5="+",2,0)</f>
        <v>0</v>
      </c>
      <c r="CA5" s="331" t="s">
        <v>90</v>
      </c>
      <c r="CB5" s="331">
        <f t="shared" ref="CB5:CB9" si="166">IF(CA5="+",0,0)</f>
        <v>0</v>
      </c>
      <c r="CC5" s="331" t="s">
        <v>90</v>
      </c>
      <c r="CD5" s="331">
        <f t="shared" ref="CD5:CD9" si="167">IF(CC5="+",0.5,0)</f>
        <v>0</v>
      </c>
      <c r="CE5" s="331" t="s">
        <v>91</v>
      </c>
      <c r="CF5" s="331">
        <f t="shared" ref="CF5:CF9" si="168">IF(CE5="+",4,0)</f>
        <v>4</v>
      </c>
      <c r="CG5" s="332">
        <v>277.13</v>
      </c>
      <c r="CH5" s="333">
        <v>658.44000000000005</v>
      </c>
      <c r="CI5" s="334">
        <f t="shared" ref="CI5:CI9" si="169">IF(CH5&lt;CG5,-2,IF(CH5=CG5,0,IF(CH5&gt;CG5,4)))</f>
        <v>4</v>
      </c>
      <c r="CJ5" s="335">
        <v>635652</v>
      </c>
      <c r="CK5" s="335">
        <v>725932.09999999998</v>
      </c>
      <c r="CL5" s="336">
        <f t="shared" ref="CL5:CL9" si="170">IF(CK5&lt;CJ5,-2,IF(CK5=CJ5,0,IF((((CK5/CJ5)*100)-100)&lt;=5,2,4)))</f>
        <v>4</v>
      </c>
      <c r="CM5" s="337" t="s">
        <v>91</v>
      </c>
      <c r="CN5" s="337">
        <f t="shared" ref="CN5:CN9" si="171">IF(CM5="+",6,0)</f>
        <v>6</v>
      </c>
      <c r="CO5" s="337" t="s">
        <v>90</v>
      </c>
      <c r="CP5" s="337">
        <f t="shared" ref="CP5:CP9" si="172">IF(CO5="+",4,0)</f>
        <v>0</v>
      </c>
      <c r="CQ5" s="337" t="s">
        <v>90</v>
      </c>
      <c r="CR5" s="337">
        <f t="shared" ref="CR5:CR9" si="173">IF(CQ5="+",0,0)</f>
        <v>0</v>
      </c>
      <c r="CS5" s="337" t="s">
        <v>90</v>
      </c>
      <c r="CT5" s="337">
        <f t="shared" ref="CT5:CT9" si="174">IF(CS5="+",-2,0)</f>
        <v>0</v>
      </c>
      <c r="CU5" s="338">
        <v>3790.79</v>
      </c>
      <c r="CV5" s="338">
        <v>1899.8800000000001</v>
      </c>
      <c r="CW5" s="339">
        <f t="shared" ref="CW5:CW9" si="175">IF(CV5&lt;CU5,-2,IF(CV5=CU5,0,IF((((CV5/CU5)*100)-100)&lt;=5,4,6)))</f>
        <v>-2</v>
      </c>
      <c r="CX5" s="340">
        <v>127.3</v>
      </c>
      <c r="CY5" s="341">
        <f t="shared" ref="CY5:CY9" si="176">IF(CX5&lt;=98.9,-4,IF(CX5&lt;=100.9,0,IF(CX5&lt;=104.9,4,IF(CX5&gt;=105,6))))</f>
        <v>6</v>
      </c>
      <c r="CZ5" s="335">
        <v>19314986</v>
      </c>
      <c r="DA5" s="342">
        <v>23586190</v>
      </c>
      <c r="DB5" s="343">
        <f t="shared" ref="DB5:DB9" si="177">IF(DA5&lt;=CZ5,0,IF((((DA5/CZ5)*100)-100)&lt;=5,4,6))</f>
        <v>6</v>
      </c>
      <c r="DC5" s="343">
        <v>0</v>
      </c>
      <c r="DD5" s="343" t="s">
        <v>89</v>
      </c>
      <c r="DE5" s="344">
        <f t="shared" ref="DE5:DE9" si="178">IF(DD5="да",4,0)</f>
        <v>4</v>
      </c>
      <c r="DF5" s="345">
        <v>72.700000000000003</v>
      </c>
      <c r="DG5" s="344">
        <f t="shared" ref="DG5:DG9" si="179">IF(DF5&lt;=29.99,0,IF(DF5&lt;=49.99,2,IF(DF5&gt;=50,4)))</f>
        <v>4</v>
      </c>
      <c r="DH5" s="331" t="s">
        <v>57</v>
      </c>
      <c r="DI5" s="346">
        <f t="shared" ref="DI5:DI9" si="180">IF(DH5="да",1,0)</f>
        <v>0</v>
      </c>
      <c r="DJ5" s="347" t="s">
        <v>89</v>
      </c>
      <c r="DK5" s="348">
        <f t="shared" ref="DK5:DK9" si="181">IF(DJ5="да",4,0)</f>
        <v>4</v>
      </c>
      <c r="DL5" s="347" t="s">
        <v>89</v>
      </c>
      <c r="DM5" s="349">
        <f t="shared" ref="DM5:DM9" si="182">IF(DL5="да",4,0)</f>
        <v>4</v>
      </c>
      <c r="DN5" s="344" t="s">
        <v>91</v>
      </c>
      <c r="DO5" s="344">
        <f t="shared" ref="DO5:DO9" si="183">IF(DN5="+",4,0)</f>
        <v>4</v>
      </c>
      <c r="DP5" s="344" t="s">
        <v>90</v>
      </c>
      <c r="DQ5" s="344">
        <f t="shared" ref="DQ5:DQ9" si="184">IF(DP5="+",0,0)</f>
        <v>0</v>
      </c>
      <c r="DR5" s="350">
        <f>(62.1+46.7+50)/3</f>
        <v>52.933333333333337</v>
      </c>
      <c r="DS5" s="321">
        <f t="shared" ref="DS5:DS9" si="185">IF(DR5&lt;=19.99,-4,IF(DR5&lt;=29.99,0,IF(DR5&lt;=49.99,2,IF(DR5&gt;=50,4))))</f>
        <v>4</v>
      </c>
      <c r="DT5" s="350">
        <v>84.200000000000003</v>
      </c>
      <c r="DU5" s="321">
        <f t="shared" ref="DU5:DU9" si="186">IF(DT5&lt;=9.99,-4,IF(DT5&lt;=29.99,1,IF(DT5&lt;=49.99,2,IF(DT5&gt;=50,4))))</f>
        <v>4</v>
      </c>
      <c r="DV5" s="351">
        <v>31.600000000000001</v>
      </c>
      <c r="DW5" s="347">
        <f t="shared" ref="DW5:DW9" si="187">IF(DV5&lt;=19.99,-2,IF(DV5&lt;=39.99,1,IF(DV5&lt;=54.99,2,IF(DV5&gt;=55,4))))</f>
        <v>1</v>
      </c>
      <c r="DX5" s="352">
        <v>52.600000000000001</v>
      </c>
      <c r="DY5" s="353">
        <f t="shared" ref="DY5:DY9" si="188">IF(DX5&lt;=9.99,-2,IF(DX5&lt;=29.99,1,IF(DX5&lt;=49.99,2,IF(DX5&gt;=50,4))))</f>
        <v>4</v>
      </c>
      <c r="DZ5" s="354">
        <f t="shared" ref="DZ5:DZ9" si="189">SUM(C5,E5,G5,I5,K5,M5,O5,Q5,S5,U5,W5,Y5,AA5,AC5,AE5,AG5,AI5,AM5,AO5,AQ5,AS5,AU5,AW5,AY5,BA5,BC5,BE5,BG5,BI5,BK5,BM5,BO5,BQ5,BT5,BV5,BX5,BZ5,CB5,CD5,CF5,CI5,CL5,CN5,CP5,CR5,CT5,CW5,CY5,DB5,DC5,DE5,DG5,DI5,DK5,DM5,DO5,DQ5,DS5,DU5,DW5,DY5)</f>
        <v>147.5</v>
      </c>
      <c r="EA5" s="355">
        <f t="shared" ref="EA5:EA9" si="190">RANK(DZ5,DZ$5:DZ$34,0)</f>
        <v>1</v>
      </c>
      <c r="EB5" s="319"/>
    </row>
    <row r="6" s="319" customFormat="1">
      <c r="A6" s="320" t="s">
        <v>92</v>
      </c>
      <c r="B6" s="321" t="s">
        <v>89</v>
      </c>
      <c r="C6" s="321">
        <f t="shared" si="129"/>
        <v>4</v>
      </c>
      <c r="D6" s="321" t="s">
        <v>89</v>
      </c>
      <c r="E6" s="321">
        <f t="shared" si="130"/>
        <v>4</v>
      </c>
      <c r="F6" s="321" t="s">
        <v>90</v>
      </c>
      <c r="G6" s="321">
        <f t="shared" si="131"/>
        <v>0</v>
      </c>
      <c r="H6" s="321" t="s">
        <v>91</v>
      </c>
      <c r="I6" s="321">
        <f t="shared" si="132"/>
        <v>1</v>
      </c>
      <c r="J6" s="321" t="s">
        <v>90</v>
      </c>
      <c r="K6" s="321">
        <f t="shared" si="133"/>
        <v>0</v>
      </c>
      <c r="L6" s="321" t="s">
        <v>91</v>
      </c>
      <c r="M6" s="321">
        <f t="shared" si="134"/>
        <v>1</v>
      </c>
      <c r="N6" s="321" t="s">
        <v>89</v>
      </c>
      <c r="O6" s="321">
        <f t="shared" si="135"/>
        <v>4</v>
      </c>
      <c r="P6" s="321" t="s">
        <v>89</v>
      </c>
      <c r="Q6" s="321">
        <f t="shared" si="136"/>
        <v>0.5</v>
      </c>
      <c r="R6" s="321" t="s">
        <v>89</v>
      </c>
      <c r="S6" s="321">
        <f t="shared" si="137"/>
        <v>0.5</v>
      </c>
      <c r="T6" s="321" t="s">
        <v>89</v>
      </c>
      <c r="U6" s="321">
        <f t="shared" si="138"/>
        <v>0.5</v>
      </c>
      <c r="V6" s="321" t="s">
        <v>89</v>
      </c>
      <c r="W6" s="321">
        <f t="shared" si="139"/>
        <v>0.5</v>
      </c>
      <c r="X6" s="321" t="s">
        <v>89</v>
      </c>
      <c r="Y6" s="321">
        <f t="shared" si="140"/>
        <v>4</v>
      </c>
      <c r="Z6" s="321" t="s">
        <v>91</v>
      </c>
      <c r="AA6" s="321">
        <f t="shared" si="141"/>
        <v>0.5</v>
      </c>
      <c r="AB6" s="321" t="s">
        <v>89</v>
      </c>
      <c r="AC6" s="321">
        <f t="shared" si="142"/>
        <v>4</v>
      </c>
      <c r="AD6" s="321" t="s">
        <v>89</v>
      </c>
      <c r="AE6" s="321">
        <f t="shared" si="143"/>
        <v>4</v>
      </c>
      <c r="AF6" s="321">
        <v>11</v>
      </c>
      <c r="AG6" s="321">
        <f t="shared" si="144"/>
        <v>11</v>
      </c>
      <c r="AH6" s="321" t="s">
        <v>89</v>
      </c>
      <c r="AI6" s="321">
        <f t="shared" si="145"/>
        <v>4</v>
      </c>
      <c r="AJ6" s="321" t="s">
        <v>90</v>
      </c>
      <c r="AK6" s="321" t="s">
        <v>89</v>
      </c>
      <c r="AL6" s="322" t="s">
        <v>90</v>
      </c>
      <c r="AM6" s="323">
        <f t="shared" si="146"/>
        <v>0</v>
      </c>
      <c r="AN6" s="324">
        <v>99.299999999999997</v>
      </c>
      <c r="AO6" s="325">
        <f t="shared" si="147"/>
        <v>4</v>
      </c>
      <c r="AP6" s="326">
        <v>65</v>
      </c>
      <c r="AQ6" s="325">
        <f t="shared" si="148"/>
        <v>4</v>
      </c>
      <c r="AR6" s="324">
        <v>1.3999999999999999</v>
      </c>
      <c r="AS6" s="325">
        <f t="shared" si="149"/>
        <v>0</v>
      </c>
      <c r="AT6" s="324">
        <v>2</v>
      </c>
      <c r="AU6" s="327">
        <f t="shared" si="150"/>
        <v>0</v>
      </c>
      <c r="AV6" s="328">
        <v>6.7000000000000002</v>
      </c>
      <c r="AW6" s="321">
        <f t="shared" si="151"/>
        <v>2</v>
      </c>
      <c r="AX6" s="321" t="s">
        <v>89</v>
      </c>
      <c r="AY6" s="321">
        <f t="shared" si="152"/>
        <v>4</v>
      </c>
      <c r="AZ6" s="321" t="s">
        <v>89</v>
      </c>
      <c r="BA6" s="321">
        <f t="shared" si="153"/>
        <v>0.5</v>
      </c>
      <c r="BB6" s="321" t="s">
        <v>89</v>
      </c>
      <c r="BC6" s="321">
        <f t="shared" si="154"/>
        <v>0.5</v>
      </c>
      <c r="BD6" s="321" t="s">
        <v>89</v>
      </c>
      <c r="BE6" s="321">
        <f t="shared" si="155"/>
        <v>0.5</v>
      </c>
      <c r="BF6" s="321" t="s">
        <v>89</v>
      </c>
      <c r="BG6" s="321">
        <f t="shared" si="156"/>
        <v>0.5</v>
      </c>
      <c r="BH6" s="321" t="s">
        <v>89</v>
      </c>
      <c r="BI6" s="321">
        <f t="shared" si="157"/>
        <v>0.5</v>
      </c>
      <c r="BJ6" s="321" t="s">
        <v>89</v>
      </c>
      <c r="BK6" s="321">
        <f t="shared" si="158"/>
        <v>4</v>
      </c>
      <c r="BL6" s="321" t="s">
        <v>90</v>
      </c>
      <c r="BM6" s="321">
        <f t="shared" si="159"/>
        <v>0</v>
      </c>
      <c r="BN6" s="321" t="s">
        <v>90</v>
      </c>
      <c r="BO6" s="321">
        <f t="shared" si="160"/>
        <v>0</v>
      </c>
      <c r="BP6" s="321" t="s">
        <v>91</v>
      </c>
      <c r="BQ6" s="329">
        <f t="shared" si="161"/>
        <v>1.5</v>
      </c>
      <c r="BR6" s="324">
        <v>3303</v>
      </c>
      <c r="BS6" s="328">
        <v>3594.7999999999997</v>
      </c>
      <c r="BT6" s="330">
        <f t="shared" si="162"/>
        <v>4</v>
      </c>
      <c r="BU6" s="331" t="s">
        <v>91</v>
      </c>
      <c r="BV6" s="331">
        <f t="shared" si="163"/>
        <v>6</v>
      </c>
      <c r="BW6" s="331" t="s">
        <v>90</v>
      </c>
      <c r="BX6" s="331">
        <f t="shared" si="164"/>
        <v>0</v>
      </c>
      <c r="BY6" s="331" t="s">
        <v>90</v>
      </c>
      <c r="BZ6" s="331">
        <f t="shared" si="165"/>
        <v>0</v>
      </c>
      <c r="CA6" s="331" t="s">
        <v>90</v>
      </c>
      <c r="CB6" s="331">
        <f t="shared" si="166"/>
        <v>0</v>
      </c>
      <c r="CC6" s="331" t="s">
        <v>90</v>
      </c>
      <c r="CD6" s="331">
        <f t="shared" si="167"/>
        <v>0</v>
      </c>
      <c r="CE6" s="331" t="s">
        <v>90</v>
      </c>
      <c r="CF6" s="331">
        <f t="shared" si="168"/>
        <v>0</v>
      </c>
      <c r="CG6" s="332">
        <v>277.13</v>
      </c>
      <c r="CH6" s="333">
        <v>215.72999999999999</v>
      </c>
      <c r="CI6" s="334">
        <f t="shared" si="169"/>
        <v>-2</v>
      </c>
      <c r="CJ6" s="335">
        <v>141958</v>
      </c>
      <c r="CK6" s="335">
        <v>137292.91</v>
      </c>
      <c r="CL6" s="336">
        <f t="shared" si="170"/>
        <v>-2</v>
      </c>
      <c r="CM6" s="337" t="s">
        <v>90</v>
      </c>
      <c r="CN6" s="337">
        <f t="shared" si="171"/>
        <v>0</v>
      </c>
      <c r="CO6" s="337" t="s">
        <v>91</v>
      </c>
      <c r="CP6" s="337">
        <f t="shared" si="172"/>
        <v>4</v>
      </c>
      <c r="CQ6" s="337" t="s">
        <v>90</v>
      </c>
      <c r="CR6" s="337">
        <f t="shared" si="173"/>
        <v>0</v>
      </c>
      <c r="CS6" s="337" t="s">
        <v>90</v>
      </c>
      <c r="CT6" s="337">
        <f t="shared" si="174"/>
        <v>0</v>
      </c>
      <c r="CU6" s="356">
        <v>1346.2139999999999</v>
      </c>
      <c r="CV6" s="338">
        <v>461.01999999999998</v>
      </c>
      <c r="CW6" s="339">
        <f t="shared" si="175"/>
        <v>-2</v>
      </c>
      <c r="CX6" s="357">
        <v>119.7</v>
      </c>
      <c r="CY6" s="329">
        <f t="shared" si="176"/>
        <v>6</v>
      </c>
      <c r="CZ6" s="335">
        <v>558485</v>
      </c>
      <c r="DA6" s="342">
        <v>853935</v>
      </c>
      <c r="DB6" s="321">
        <f t="shared" si="177"/>
        <v>6</v>
      </c>
      <c r="DC6" s="321">
        <v>4</v>
      </c>
      <c r="DD6" s="321" t="s">
        <v>89</v>
      </c>
      <c r="DE6" s="357">
        <f t="shared" si="178"/>
        <v>4</v>
      </c>
      <c r="DF6" s="321">
        <v>100</v>
      </c>
      <c r="DG6" s="357">
        <f t="shared" si="179"/>
        <v>4</v>
      </c>
      <c r="DH6" s="331" t="s">
        <v>57</v>
      </c>
      <c r="DI6" s="346">
        <f t="shared" si="180"/>
        <v>0</v>
      </c>
      <c r="DJ6" s="347" t="s">
        <v>89</v>
      </c>
      <c r="DK6" s="358">
        <f t="shared" si="181"/>
        <v>4</v>
      </c>
      <c r="DL6" s="347" t="s">
        <v>89</v>
      </c>
      <c r="DM6" s="359">
        <f t="shared" si="182"/>
        <v>4</v>
      </c>
      <c r="DN6" s="357" t="s">
        <v>90</v>
      </c>
      <c r="DO6" s="357">
        <f t="shared" si="183"/>
        <v>0</v>
      </c>
      <c r="DP6" s="357" t="s">
        <v>91</v>
      </c>
      <c r="DQ6" s="357">
        <f t="shared" si="184"/>
        <v>0</v>
      </c>
      <c r="DR6" s="350">
        <f>(53+51.7+52.6)/3</f>
        <v>52.433333333333337</v>
      </c>
      <c r="DS6" s="321">
        <f t="shared" si="185"/>
        <v>4</v>
      </c>
      <c r="DT6" s="350">
        <v>91.700000000000003</v>
      </c>
      <c r="DU6" s="321">
        <f t="shared" si="186"/>
        <v>4</v>
      </c>
      <c r="DV6" s="351">
        <v>83.299999999999997</v>
      </c>
      <c r="DW6" s="347">
        <f t="shared" si="187"/>
        <v>4</v>
      </c>
      <c r="DX6" s="360">
        <v>79.200000000000003</v>
      </c>
      <c r="DY6" s="353">
        <f t="shared" si="188"/>
        <v>4</v>
      </c>
      <c r="DZ6" s="354">
        <f t="shared" si="189"/>
        <v>121.5</v>
      </c>
      <c r="EA6" s="355">
        <f t="shared" si="190"/>
        <v>2</v>
      </c>
      <c r="EB6" s="319"/>
    </row>
    <row r="7" s="319" customFormat="1">
      <c r="A7" s="361" t="s">
        <v>93</v>
      </c>
      <c r="B7" s="321" t="s">
        <v>89</v>
      </c>
      <c r="C7" s="362">
        <f t="shared" si="129"/>
        <v>4</v>
      </c>
      <c r="D7" s="321" t="s">
        <v>89</v>
      </c>
      <c r="E7" s="362">
        <f t="shared" si="130"/>
        <v>4</v>
      </c>
      <c r="F7" s="362" t="s">
        <v>90</v>
      </c>
      <c r="G7" s="362">
        <f t="shared" si="131"/>
        <v>0</v>
      </c>
      <c r="H7" s="362" t="s">
        <v>91</v>
      </c>
      <c r="I7" s="362">
        <f t="shared" si="132"/>
        <v>1</v>
      </c>
      <c r="J7" s="362" t="s">
        <v>90</v>
      </c>
      <c r="K7" s="362">
        <f t="shared" si="133"/>
        <v>0</v>
      </c>
      <c r="L7" s="362" t="s">
        <v>91</v>
      </c>
      <c r="M7" s="362">
        <f t="shared" si="134"/>
        <v>1</v>
      </c>
      <c r="N7" s="321" t="s">
        <v>89</v>
      </c>
      <c r="O7" s="362">
        <f t="shared" si="135"/>
        <v>4</v>
      </c>
      <c r="P7" s="321" t="s">
        <v>89</v>
      </c>
      <c r="Q7" s="362">
        <f t="shared" si="136"/>
        <v>0.5</v>
      </c>
      <c r="R7" s="321" t="s">
        <v>89</v>
      </c>
      <c r="S7" s="362">
        <f t="shared" si="137"/>
        <v>0.5</v>
      </c>
      <c r="T7" s="321" t="s">
        <v>89</v>
      </c>
      <c r="U7" s="362">
        <f t="shared" si="138"/>
        <v>0.5</v>
      </c>
      <c r="V7" s="321" t="s">
        <v>89</v>
      </c>
      <c r="W7" s="362">
        <f t="shared" si="139"/>
        <v>0.5</v>
      </c>
      <c r="X7" s="362" t="s">
        <v>89</v>
      </c>
      <c r="Y7" s="362">
        <f t="shared" si="140"/>
        <v>4</v>
      </c>
      <c r="Z7" s="362" t="s">
        <v>91</v>
      </c>
      <c r="AA7" s="362">
        <f t="shared" si="141"/>
        <v>0.5</v>
      </c>
      <c r="AB7" s="362" t="s">
        <v>89</v>
      </c>
      <c r="AC7" s="362">
        <f t="shared" si="142"/>
        <v>4</v>
      </c>
      <c r="AD7" s="321" t="s">
        <v>89</v>
      </c>
      <c r="AE7" s="362">
        <f t="shared" si="143"/>
        <v>4</v>
      </c>
      <c r="AF7" s="362">
        <v>7</v>
      </c>
      <c r="AG7" s="362">
        <f t="shared" si="144"/>
        <v>7</v>
      </c>
      <c r="AH7" s="362" t="s">
        <v>89</v>
      </c>
      <c r="AI7" s="362">
        <f t="shared" si="145"/>
        <v>4</v>
      </c>
      <c r="AJ7" s="321" t="s">
        <v>57</v>
      </c>
      <c r="AK7" s="321" t="s">
        <v>90</v>
      </c>
      <c r="AL7" s="322" t="s">
        <v>90</v>
      </c>
      <c r="AM7" s="323">
        <f t="shared" si="146"/>
        <v>4</v>
      </c>
      <c r="AN7" s="324">
        <v>74.200000000000003</v>
      </c>
      <c r="AO7" s="325">
        <f t="shared" si="147"/>
        <v>4</v>
      </c>
      <c r="AP7" s="326">
        <v>73.400000000000006</v>
      </c>
      <c r="AQ7" s="363">
        <f t="shared" si="148"/>
        <v>4</v>
      </c>
      <c r="AR7" s="324">
        <v>1.8999999999999999</v>
      </c>
      <c r="AS7" s="325">
        <f t="shared" si="149"/>
        <v>0</v>
      </c>
      <c r="AT7" s="324">
        <v>1.8</v>
      </c>
      <c r="AU7" s="364">
        <f t="shared" si="150"/>
        <v>0</v>
      </c>
      <c r="AV7" s="328">
        <v>10.4</v>
      </c>
      <c r="AW7" s="362">
        <f t="shared" si="151"/>
        <v>0</v>
      </c>
      <c r="AX7" s="362" t="s">
        <v>89</v>
      </c>
      <c r="AY7" s="362">
        <f t="shared" si="152"/>
        <v>4</v>
      </c>
      <c r="AZ7" s="362" t="s">
        <v>89</v>
      </c>
      <c r="BA7" s="362">
        <f t="shared" si="153"/>
        <v>0.5</v>
      </c>
      <c r="BB7" s="321" t="s">
        <v>89</v>
      </c>
      <c r="BC7" s="362">
        <f t="shared" si="154"/>
        <v>0.5</v>
      </c>
      <c r="BD7" s="321" t="s">
        <v>89</v>
      </c>
      <c r="BE7" s="362">
        <f t="shared" si="155"/>
        <v>0.5</v>
      </c>
      <c r="BF7" s="321" t="s">
        <v>89</v>
      </c>
      <c r="BG7" s="362">
        <f t="shared" si="156"/>
        <v>0.5</v>
      </c>
      <c r="BH7" s="321" t="s">
        <v>89</v>
      </c>
      <c r="BI7" s="362">
        <f t="shared" si="157"/>
        <v>0.5</v>
      </c>
      <c r="BJ7" s="321" t="s">
        <v>89</v>
      </c>
      <c r="BK7" s="362">
        <f t="shared" si="158"/>
        <v>4</v>
      </c>
      <c r="BL7" s="362" t="s">
        <v>90</v>
      </c>
      <c r="BM7" s="321">
        <f t="shared" si="159"/>
        <v>0</v>
      </c>
      <c r="BN7" s="362" t="s">
        <v>90</v>
      </c>
      <c r="BO7" s="362">
        <f t="shared" si="160"/>
        <v>0</v>
      </c>
      <c r="BP7" s="362" t="s">
        <v>91</v>
      </c>
      <c r="BQ7" s="365">
        <f t="shared" si="161"/>
        <v>1.5</v>
      </c>
      <c r="BR7" s="324">
        <v>3118</v>
      </c>
      <c r="BS7" s="328">
        <v>3297</v>
      </c>
      <c r="BT7" s="330">
        <f t="shared" si="162"/>
        <v>4</v>
      </c>
      <c r="BU7" s="331" t="s">
        <v>91</v>
      </c>
      <c r="BV7" s="331">
        <f t="shared" si="163"/>
        <v>6</v>
      </c>
      <c r="BW7" s="331" t="s">
        <v>90</v>
      </c>
      <c r="BX7" s="331">
        <f t="shared" si="164"/>
        <v>0</v>
      </c>
      <c r="BY7" s="331" t="s">
        <v>90</v>
      </c>
      <c r="BZ7" s="331">
        <f t="shared" si="165"/>
        <v>0</v>
      </c>
      <c r="CA7" s="331" t="s">
        <v>90</v>
      </c>
      <c r="CB7" s="331">
        <f t="shared" si="166"/>
        <v>0</v>
      </c>
      <c r="CC7" s="331" t="s">
        <v>90</v>
      </c>
      <c r="CD7" s="331">
        <f t="shared" si="167"/>
        <v>0</v>
      </c>
      <c r="CE7" s="331" t="s">
        <v>90</v>
      </c>
      <c r="CF7" s="331">
        <f t="shared" si="168"/>
        <v>0</v>
      </c>
      <c r="CG7" s="332">
        <v>277.13</v>
      </c>
      <c r="CH7" s="333">
        <v>227.88</v>
      </c>
      <c r="CI7" s="334">
        <f t="shared" si="169"/>
        <v>-2</v>
      </c>
      <c r="CJ7" s="335">
        <v>137134</v>
      </c>
      <c r="CK7" s="335">
        <v>158985.57000000001</v>
      </c>
      <c r="CL7" s="336">
        <f t="shared" si="170"/>
        <v>4</v>
      </c>
      <c r="CM7" s="337" t="s">
        <v>90</v>
      </c>
      <c r="CN7" s="337">
        <f t="shared" si="171"/>
        <v>0</v>
      </c>
      <c r="CO7" s="337" t="s">
        <v>91</v>
      </c>
      <c r="CP7" s="337">
        <f t="shared" si="172"/>
        <v>4</v>
      </c>
      <c r="CQ7" s="337" t="s">
        <v>90</v>
      </c>
      <c r="CR7" s="337">
        <f t="shared" si="173"/>
        <v>0</v>
      </c>
      <c r="CS7" s="337" t="s">
        <v>90</v>
      </c>
      <c r="CT7" s="337">
        <f t="shared" si="174"/>
        <v>0</v>
      </c>
      <c r="CU7" s="338">
        <v>1881.241</v>
      </c>
      <c r="CV7" s="338">
        <v>553.25999999999999</v>
      </c>
      <c r="CW7" s="339">
        <f t="shared" si="175"/>
        <v>-2</v>
      </c>
      <c r="CX7" s="357">
        <v>119.59999999999999</v>
      </c>
      <c r="CY7" s="329">
        <f t="shared" si="176"/>
        <v>6</v>
      </c>
      <c r="CZ7" s="335">
        <v>1587761</v>
      </c>
      <c r="DA7" s="342">
        <v>1662311</v>
      </c>
      <c r="DB7" s="321">
        <f t="shared" si="177"/>
        <v>4</v>
      </c>
      <c r="DC7" s="321">
        <v>4</v>
      </c>
      <c r="DD7" s="321" t="s">
        <v>89</v>
      </c>
      <c r="DE7" s="366">
        <f t="shared" si="178"/>
        <v>4</v>
      </c>
      <c r="DF7" s="367">
        <v>92.200000000000003</v>
      </c>
      <c r="DG7" s="357">
        <f t="shared" si="179"/>
        <v>4</v>
      </c>
      <c r="DH7" s="331" t="s">
        <v>57</v>
      </c>
      <c r="DI7" s="346">
        <f t="shared" si="180"/>
        <v>0</v>
      </c>
      <c r="DJ7" s="347" t="s">
        <v>89</v>
      </c>
      <c r="DK7" s="368">
        <f t="shared" si="181"/>
        <v>4</v>
      </c>
      <c r="DL7" s="347" t="s">
        <v>89</v>
      </c>
      <c r="DM7" s="369">
        <f t="shared" si="182"/>
        <v>4</v>
      </c>
      <c r="DN7" s="357" t="s">
        <v>90</v>
      </c>
      <c r="DO7" s="366">
        <f t="shared" si="183"/>
        <v>0</v>
      </c>
      <c r="DP7" s="357" t="s">
        <v>91</v>
      </c>
      <c r="DQ7" s="366">
        <f t="shared" si="184"/>
        <v>0</v>
      </c>
      <c r="DR7" s="350">
        <f>(58+58.8+54.9)/3</f>
        <v>57.233333333333327</v>
      </c>
      <c r="DS7" s="321">
        <f t="shared" si="185"/>
        <v>4</v>
      </c>
      <c r="DT7" s="350">
        <v>71.400000000000006</v>
      </c>
      <c r="DU7" s="321">
        <f t="shared" si="186"/>
        <v>4</v>
      </c>
      <c r="DV7" s="351">
        <v>28.600000000000001</v>
      </c>
      <c r="DW7" s="347">
        <f t="shared" si="187"/>
        <v>1</v>
      </c>
      <c r="DX7" s="360">
        <v>57.100000000000001</v>
      </c>
      <c r="DY7" s="353">
        <f t="shared" si="188"/>
        <v>4</v>
      </c>
      <c r="DZ7" s="354">
        <f t="shared" si="189"/>
        <v>120.5</v>
      </c>
      <c r="EA7" s="355">
        <f t="shared" si="190"/>
        <v>3</v>
      </c>
      <c r="EB7" s="319"/>
    </row>
    <row r="8" s="319" customFormat="1">
      <c r="A8" s="370" t="s">
        <v>94</v>
      </c>
      <c r="B8" s="321" t="s">
        <v>89</v>
      </c>
      <c r="C8" s="343">
        <f t="shared" si="129"/>
        <v>4</v>
      </c>
      <c r="D8" s="321" t="s">
        <v>89</v>
      </c>
      <c r="E8" s="343">
        <f t="shared" si="130"/>
        <v>4</v>
      </c>
      <c r="F8" s="343" t="s">
        <v>90</v>
      </c>
      <c r="G8" s="343">
        <f t="shared" si="131"/>
        <v>0</v>
      </c>
      <c r="H8" s="343" t="s">
        <v>91</v>
      </c>
      <c r="I8" s="343">
        <f t="shared" si="132"/>
        <v>1</v>
      </c>
      <c r="J8" s="343" t="s">
        <v>90</v>
      </c>
      <c r="K8" s="343">
        <f t="shared" si="133"/>
        <v>0</v>
      </c>
      <c r="L8" s="343" t="s">
        <v>91</v>
      </c>
      <c r="M8" s="343">
        <f t="shared" si="134"/>
        <v>1</v>
      </c>
      <c r="N8" s="321" t="s">
        <v>89</v>
      </c>
      <c r="O8" s="343">
        <f t="shared" si="135"/>
        <v>4</v>
      </c>
      <c r="P8" s="321" t="s">
        <v>89</v>
      </c>
      <c r="Q8" s="343">
        <f t="shared" si="136"/>
        <v>0.5</v>
      </c>
      <c r="R8" s="321" t="s">
        <v>89</v>
      </c>
      <c r="S8" s="343">
        <f t="shared" si="137"/>
        <v>0.5</v>
      </c>
      <c r="T8" s="321" t="s">
        <v>89</v>
      </c>
      <c r="U8" s="343">
        <f t="shared" si="138"/>
        <v>0.5</v>
      </c>
      <c r="V8" s="321" t="s">
        <v>89</v>
      </c>
      <c r="W8" s="343">
        <f t="shared" si="139"/>
        <v>0.5</v>
      </c>
      <c r="X8" s="343" t="s">
        <v>89</v>
      </c>
      <c r="Y8" s="343">
        <f t="shared" si="140"/>
        <v>4</v>
      </c>
      <c r="Z8" s="343" t="s">
        <v>91</v>
      </c>
      <c r="AA8" s="343">
        <f t="shared" si="141"/>
        <v>0.5</v>
      </c>
      <c r="AB8" s="343" t="s">
        <v>89</v>
      </c>
      <c r="AC8" s="343">
        <f t="shared" si="142"/>
        <v>4</v>
      </c>
      <c r="AD8" s="321" t="s">
        <v>89</v>
      </c>
      <c r="AE8" s="343">
        <f t="shared" si="143"/>
        <v>4</v>
      </c>
      <c r="AF8" s="343">
        <v>2</v>
      </c>
      <c r="AG8" s="343">
        <f t="shared" si="144"/>
        <v>2</v>
      </c>
      <c r="AH8" s="343" t="s">
        <v>89</v>
      </c>
      <c r="AI8" s="343">
        <f t="shared" si="145"/>
        <v>4</v>
      </c>
      <c r="AJ8" s="321" t="s">
        <v>90</v>
      </c>
      <c r="AK8" s="321" t="s">
        <v>89</v>
      </c>
      <c r="AL8" s="322" t="s">
        <v>90</v>
      </c>
      <c r="AM8" s="323">
        <f t="shared" si="146"/>
        <v>0</v>
      </c>
      <c r="AN8" s="324">
        <v>97.299999999999997</v>
      </c>
      <c r="AO8" s="325">
        <f t="shared" si="147"/>
        <v>4</v>
      </c>
      <c r="AP8" s="326">
        <v>70.400000000000006</v>
      </c>
      <c r="AQ8" s="371">
        <f t="shared" si="148"/>
        <v>4</v>
      </c>
      <c r="AR8" s="324">
        <v>1.2</v>
      </c>
      <c r="AS8" s="325">
        <f t="shared" si="149"/>
        <v>0</v>
      </c>
      <c r="AT8" s="324">
        <v>2.6000000000000001</v>
      </c>
      <c r="AU8" s="372">
        <f t="shared" si="150"/>
        <v>0</v>
      </c>
      <c r="AV8" s="328">
        <v>6.2000000000000002</v>
      </c>
      <c r="AW8" s="343">
        <f t="shared" si="151"/>
        <v>2</v>
      </c>
      <c r="AX8" s="343" t="s">
        <v>89</v>
      </c>
      <c r="AY8" s="343">
        <f t="shared" si="152"/>
        <v>4</v>
      </c>
      <c r="AZ8" s="343" t="s">
        <v>89</v>
      </c>
      <c r="BA8" s="343">
        <f t="shared" si="153"/>
        <v>0.5</v>
      </c>
      <c r="BB8" s="321" t="s">
        <v>89</v>
      </c>
      <c r="BC8" s="343">
        <f t="shared" si="154"/>
        <v>0.5</v>
      </c>
      <c r="BD8" s="321" t="s">
        <v>89</v>
      </c>
      <c r="BE8" s="343">
        <f t="shared" si="155"/>
        <v>0.5</v>
      </c>
      <c r="BF8" s="321" t="s">
        <v>89</v>
      </c>
      <c r="BG8" s="343">
        <f t="shared" si="156"/>
        <v>0.5</v>
      </c>
      <c r="BH8" s="321" t="s">
        <v>89</v>
      </c>
      <c r="BI8" s="343">
        <f t="shared" si="157"/>
        <v>0.5</v>
      </c>
      <c r="BJ8" s="321" t="s">
        <v>89</v>
      </c>
      <c r="BK8" s="343">
        <f t="shared" si="158"/>
        <v>4</v>
      </c>
      <c r="BL8" s="343" t="s">
        <v>90</v>
      </c>
      <c r="BM8" s="321">
        <f t="shared" si="159"/>
        <v>0</v>
      </c>
      <c r="BN8" s="343" t="s">
        <v>90</v>
      </c>
      <c r="BO8" s="343">
        <f t="shared" si="160"/>
        <v>0</v>
      </c>
      <c r="BP8" s="343" t="s">
        <v>91</v>
      </c>
      <c r="BQ8" s="341">
        <f t="shared" si="161"/>
        <v>1.5</v>
      </c>
      <c r="BR8" s="324">
        <v>2593.5999999999999</v>
      </c>
      <c r="BS8" s="328">
        <v>3843.3999999999996</v>
      </c>
      <c r="BT8" s="330">
        <f t="shared" si="162"/>
        <v>4</v>
      </c>
      <c r="BU8" s="331" t="s">
        <v>91</v>
      </c>
      <c r="BV8" s="331">
        <f t="shared" si="163"/>
        <v>6</v>
      </c>
      <c r="BW8" s="331" t="s">
        <v>90</v>
      </c>
      <c r="BX8" s="331">
        <f t="shared" si="164"/>
        <v>0</v>
      </c>
      <c r="BY8" s="331" t="s">
        <v>90</v>
      </c>
      <c r="BZ8" s="331">
        <f t="shared" si="165"/>
        <v>0</v>
      </c>
      <c r="CA8" s="331" t="s">
        <v>90</v>
      </c>
      <c r="CB8" s="331">
        <f t="shared" si="166"/>
        <v>0</v>
      </c>
      <c r="CC8" s="331" t="s">
        <v>91</v>
      </c>
      <c r="CD8" s="331">
        <f t="shared" si="167"/>
        <v>0.5</v>
      </c>
      <c r="CE8" s="331" t="s">
        <v>90</v>
      </c>
      <c r="CF8" s="331">
        <f t="shared" si="168"/>
        <v>0</v>
      </c>
      <c r="CG8" s="332">
        <v>277.13</v>
      </c>
      <c r="CH8" s="333">
        <v>209.77000000000001</v>
      </c>
      <c r="CI8" s="334">
        <f t="shared" si="169"/>
        <v>-2</v>
      </c>
      <c r="CJ8" s="335">
        <v>132779</v>
      </c>
      <c r="CK8" s="335">
        <v>235759.39000000001</v>
      </c>
      <c r="CL8" s="336">
        <f t="shared" si="170"/>
        <v>4</v>
      </c>
      <c r="CM8" s="337" t="s">
        <v>90</v>
      </c>
      <c r="CN8" s="337">
        <f t="shared" si="171"/>
        <v>0</v>
      </c>
      <c r="CO8" s="337" t="s">
        <v>91</v>
      </c>
      <c r="CP8" s="337">
        <f t="shared" si="172"/>
        <v>4</v>
      </c>
      <c r="CQ8" s="337" t="s">
        <v>90</v>
      </c>
      <c r="CR8" s="337">
        <f t="shared" si="173"/>
        <v>0</v>
      </c>
      <c r="CS8" s="337" t="s">
        <v>90</v>
      </c>
      <c r="CT8" s="337">
        <f t="shared" si="174"/>
        <v>0</v>
      </c>
      <c r="CU8" s="338">
        <v>785.56899999999996</v>
      </c>
      <c r="CV8" s="338">
        <v>293.37</v>
      </c>
      <c r="CW8" s="339">
        <f t="shared" si="175"/>
        <v>-2</v>
      </c>
      <c r="CX8" s="357">
        <v>121.59999999999999</v>
      </c>
      <c r="CY8" s="329">
        <f t="shared" si="176"/>
        <v>6</v>
      </c>
      <c r="CZ8" s="335">
        <v>986926</v>
      </c>
      <c r="DA8" s="342">
        <v>1228518</v>
      </c>
      <c r="DB8" s="321">
        <f t="shared" si="177"/>
        <v>6</v>
      </c>
      <c r="DC8" s="321">
        <v>4</v>
      </c>
      <c r="DD8" s="321" t="s">
        <v>89</v>
      </c>
      <c r="DE8" s="373">
        <f t="shared" si="178"/>
        <v>4</v>
      </c>
      <c r="DF8" s="367">
        <v>88.599999999999994</v>
      </c>
      <c r="DG8" s="357">
        <f t="shared" si="179"/>
        <v>4</v>
      </c>
      <c r="DH8" s="331" t="s">
        <v>89</v>
      </c>
      <c r="DI8" s="346">
        <f t="shared" si="180"/>
        <v>1</v>
      </c>
      <c r="DJ8" s="347" t="s">
        <v>89</v>
      </c>
      <c r="DK8" s="374">
        <f t="shared" si="181"/>
        <v>4</v>
      </c>
      <c r="DL8" s="347" t="s">
        <v>89</v>
      </c>
      <c r="DM8" s="375">
        <f t="shared" si="182"/>
        <v>4</v>
      </c>
      <c r="DN8" s="376" t="s">
        <v>90</v>
      </c>
      <c r="DO8" s="374">
        <f t="shared" si="183"/>
        <v>0</v>
      </c>
      <c r="DP8" s="359" t="s">
        <v>91</v>
      </c>
      <c r="DQ8" s="373">
        <f t="shared" si="184"/>
        <v>0</v>
      </c>
      <c r="DR8" s="350">
        <f>(100+100+100)/3</f>
        <v>100</v>
      </c>
      <c r="DS8" s="321">
        <f t="shared" si="185"/>
        <v>4</v>
      </c>
      <c r="DT8" s="350">
        <v>96.5</v>
      </c>
      <c r="DU8" s="321">
        <f t="shared" si="186"/>
        <v>4</v>
      </c>
      <c r="DV8" s="351">
        <v>92.900000000000006</v>
      </c>
      <c r="DW8" s="347">
        <f t="shared" si="187"/>
        <v>4</v>
      </c>
      <c r="DX8" s="360">
        <v>67.099999999999994</v>
      </c>
      <c r="DY8" s="353">
        <f t="shared" si="188"/>
        <v>4</v>
      </c>
      <c r="DZ8" s="354">
        <f t="shared" si="189"/>
        <v>120</v>
      </c>
      <c r="EA8" s="355">
        <f t="shared" si="190"/>
        <v>4</v>
      </c>
      <c r="EB8" s="319"/>
    </row>
    <row r="9" s="319" customFormat="1">
      <c r="A9" s="320" t="s">
        <v>95</v>
      </c>
      <c r="B9" s="321" t="s">
        <v>89</v>
      </c>
      <c r="C9" s="321">
        <f t="shared" si="129"/>
        <v>4</v>
      </c>
      <c r="D9" s="321" t="s">
        <v>89</v>
      </c>
      <c r="E9" s="321">
        <f t="shared" si="130"/>
        <v>4</v>
      </c>
      <c r="F9" s="321" t="s">
        <v>91</v>
      </c>
      <c r="G9" s="321">
        <f t="shared" si="131"/>
        <v>0.5</v>
      </c>
      <c r="H9" s="321" t="s">
        <v>90</v>
      </c>
      <c r="I9" s="321">
        <f t="shared" si="132"/>
        <v>0</v>
      </c>
      <c r="J9" s="321" t="s">
        <v>91</v>
      </c>
      <c r="K9" s="321">
        <f t="shared" si="133"/>
        <v>0.5</v>
      </c>
      <c r="L9" s="321" t="s">
        <v>90</v>
      </c>
      <c r="M9" s="321">
        <f t="shared" si="134"/>
        <v>0</v>
      </c>
      <c r="N9" s="321" t="s">
        <v>89</v>
      </c>
      <c r="O9" s="321">
        <f t="shared" si="135"/>
        <v>4</v>
      </c>
      <c r="P9" s="321" t="s">
        <v>89</v>
      </c>
      <c r="Q9" s="321">
        <f t="shared" si="136"/>
        <v>0.5</v>
      </c>
      <c r="R9" s="321" t="s">
        <v>89</v>
      </c>
      <c r="S9" s="321">
        <f t="shared" si="137"/>
        <v>0.5</v>
      </c>
      <c r="T9" s="321" t="s">
        <v>89</v>
      </c>
      <c r="U9" s="321">
        <f t="shared" si="138"/>
        <v>0.5</v>
      </c>
      <c r="V9" s="321" t="s">
        <v>89</v>
      </c>
      <c r="W9" s="321">
        <f t="shared" si="139"/>
        <v>0.5</v>
      </c>
      <c r="X9" s="321" t="s">
        <v>89</v>
      </c>
      <c r="Y9" s="321">
        <f t="shared" si="140"/>
        <v>4</v>
      </c>
      <c r="Z9" s="321" t="s">
        <v>91</v>
      </c>
      <c r="AA9" s="321">
        <f t="shared" si="141"/>
        <v>0.5</v>
      </c>
      <c r="AB9" s="321" t="s">
        <v>89</v>
      </c>
      <c r="AC9" s="321">
        <f t="shared" si="142"/>
        <v>4</v>
      </c>
      <c r="AD9" s="321" t="s">
        <v>89</v>
      </c>
      <c r="AE9" s="321">
        <f t="shared" si="143"/>
        <v>4</v>
      </c>
      <c r="AF9" s="321">
        <v>7</v>
      </c>
      <c r="AG9" s="321">
        <f t="shared" si="144"/>
        <v>7</v>
      </c>
      <c r="AH9" s="321" t="s">
        <v>89</v>
      </c>
      <c r="AI9" s="321">
        <f t="shared" si="145"/>
        <v>4</v>
      </c>
      <c r="AJ9" s="321" t="s">
        <v>57</v>
      </c>
      <c r="AK9" s="321" t="s">
        <v>90</v>
      </c>
      <c r="AL9" s="322" t="s">
        <v>90</v>
      </c>
      <c r="AM9" s="323">
        <f t="shared" si="146"/>
        <v>4</v>
      </c>
      <c r="AN9" s="324">
        <v>100</v>
      </c>
      <c r="AO9" s="325">
        <f t="shared" si="147"/>
        <v>4</v>
      </c>
      <c r="AP9" s="326">
        <v>71.5</v>
      </c>
      <c r="AQ9" s="325">
        <f t="shared" si="148"/>
        <v>4</v>
      </c>
      <c r="AR9" s="324">
        <v>1</v>
      </c>
      <c r="AS9" s="325">
        <f t="shared" si="149"/>
        <v>0</v>
      </c>
      <c r="AT9" s="324">
        <v>2</v>
      </c>
      <c r="AU9" s="327">
        <f>IF(AT9&lt;=0.99,-2,IF(AT9&lt;=2.99,0,IF(AT9&gt;=3,4)))</f>
        <v>0</v>
      </c>
      <c r="AV9" s="328">
        <v>5</v>
      </c>
      <c r="AW9" s="321">
        <f t="shared" si="151"/>
        <v>2</v>
      </c>
      <c r="AX9" s="321" t="s">
        <v>89</v>
      </c>
      <c r="AY9" s="321">
        <f t="shared" si="152"/>
        <v>4</v>
      </c>
      <c r="AZ9" s="321" t="s">
        <v>89</v>
      </c>
      <c r="BA9" s="321">
        <f t="shared" si="153"/>
        <v>0.5</v>
      </c>
      <c r="BB9" s="321" t="s">
        <v>89</v>
      </c>
      <c r="BC9" s="321">
        <f t="shared" si="154"/>
        <v>0.5</v>
      </c>
      <c r="BD9" s="321" t="s">
        <v>89</v>
      </c>
      <c r="BE9" s="321">
        <f t="shared" si="155"/>
        <v>0.5</v>
      </c>
      <c r="BF9" s="321" t="s">
        <v>89</v>
      </c>
      <c r="BG9" s="321">
        <f t="shared" si="156"/>
        <v>0.5</v>
      </c>
      <c r="BH9" s="321" t="s">
        <v>89</v>
      </c>
      <c r="BI9" s="321">
        <f t="shared" si="157"/>
        <v>0.5</v>
      </c>
      <c r="BJ9" s="321" t="s">
        <v>89</v>
      </c>
      <c r="BK9" s="321">
        <f t="shared" si="158"/>
        <v>4</v>
      </c>
      <c r="BL9" s="321" t="s">
        <v>91</v>
      </c>
      <c r="BM9" s="321">
        <f t="shared" si="159"/>
        <v>0.5</v>
      </c>
      <c r="BN9" s="321" t="s">
        <v>90</v>
      </c>
      <c r="BO9" s="321">
        <f t="shared" si="160"/>
        <v>0</v>
      </c>
      <c r="BP9" s="321" t="s">
        <v>90</v>
      </c>
      <c r="BQ9" s="329">
        <f t="shared" si="161"/>
        <v>0</v>
      </c>
      <c r="BR9" s="324">
        <v>1215.5999999999999</v>
      </c>
      <c r="BS9" s="328">
        <v>1657.3</v>
      </c>
      <c r="BT9" s="330">
        <f t="shared" si="162"/>
        <v>4</v>
      </c>
      <c r="BU9" s="331" t="s">
        <v>91</v>
      </c>
      <c r="BV9" s="331">
        <f t="shared" si="163"/>
        <v>6</v>
      </c>
      <c r="BW9" s="331" t="s">
        <v>90</v>
      </c>
      <c r="BX9" s="331">
        <f t="shared" si="164"/>
        <v>0</v>
      </c>
      <c r="BY9" s="331" t="s">
        <v>90</v>
      </c>
      <c r="BZ9" s="331">
        <f t="shared" si="165"/>
        <v>0</v>
      </c>
      <c r="CA9" s="331" t="s">
        <v>90</v>
      </c>
      <c r="CB9" s="331">
        <f t="shared" si="166"/>
        <v>0</v>
      </c>
      <c r="CC9" s="331" t="s">
        <v>90</v>
      </c>
      <c r="CD9" s="331">
        <f t="shared" si="167"/>
        <v>0</v>
      </c>
      <c r="CE9" s="331" t="s">
        <v>91</v>
      </c>
      <c r="CF9" s="331">
        <f t="shared" si="168"/>
        <v>4</v>
      </c>
      <c r="CG9" s="332">
        <v>277.13</v>
      </c>
      <c r="CH9" s="333">
        <v>209.99000000000001</v>
      </c>
      <c r="CI9" s="334">
        <f t="shared" si="169"/>
        <v>-2</v>
      </c>
      <c r="CJ9" s="335">
        <v>155417</v>
      </c>
      <c r="CK9" s="335">
        <v>175655.59</v>
      </c>
      <c r="CL9" s="336">
        <f t="shared" si="170"/>
        <v>4</v>
      </c>
      <c r="CM9" s="337" t="s">
        <v>90</v>
      </c>
      <c r="CN9" s="337">
        <f t="shared" si="171"/>
        <v>0</v>
      </c>
      <c r="CO9" s="337" t="s">
        <v>90</v>
      </c>
      <c r="CP9" s="337">
        <f t="shared" si="172"/>
        <v>0</v>
      </c>
      <c r="CQ9" s="337" t="s">
        <v>91</v>
      </c>
      <c r="CR9" s="337">
        <f t="shared" si="173"/>
        <v>0</v>
      </c>
      <c r="CS9" s="337" t="s">
        <v>90</v>
      </c>
      <c r="CT9" s="337">
        <f t="shared" si="174"/>
        <v>0</v>
      </c>
      <c r="CU9" s="356">
        <v>564.44500000000005</v>
      </c>
      <c r="CV9" s="338">
        <v>163.28999999999999</v>
      </c>
      <c r="CW9" s="339">
        <f t="shared" si="175"/>
        <v>-2</v>
      </c>
      <c r="CX9" s="357">
        <v>117.40000000000001</v>
      </c>
      <c r="CY9" s="329">
        <f t="shared" si="176"/>
        <v>6</v>
      </c>
      <c r="CZ9" s="335">
        <v>591645</v>
      </c>
      <c r="DA9" s="342">
        <v>737464</v>
      </c>
      <c r="DB9" s="321">
        <f t="shared" si="177"/>
        <v>6</v>
      </c>
      <c r="DC9" s="321">
        <v>4</v>
      </c>
      <c r="DD9" s="321" t="s">
        <v>89</v>
      </c>
      <c r="DE9" s="344">
        <f t="shared" si="178"/>
        <v>4</v>
      </c>
      <c r="DF9" s="367">
        <v>79.799999999999997</v>
      </c>
      <c r="DG9" s="357">
        <f t="shared" si="179"/>
        <v>4</v>
      </c>
      <c r="DH9" s="331" t="s">
        <v>57</v>
      </c>
      <c r="DI9" s="346">
        <f t="shared" si="180"/>
        <v>0</v>
      </c>
      <c r="DJ9" s="347" t="s">
        <v>89</v>
      </c>
      <c r="DK9" s="348">
        <f t="shared" si="181"/>
        <v>4</v>
      </c>
      <c r="DL9" s="347" t="s">
        <v>89</v>
      </c>
      <c r="DM9" s="349">
        <f t="shared" si="182"/>
        <v>4</v>
      </c>
      <c r="DN9" s="376" t="s">
        <v>90</v>
      </c>
      <c r="DO9" s="374">
        <f t="shared" si="183"/>
        <v>0</v>
      </c>
      <c r="DP9" s="359" t="s">
        <v>91</v>
      </c>
      <c r="DQ9" s="344">
        <f t="shared" si="184"/>
        <v>0</v>
      </c>
      <c r="DR9" s="350">
        <f>(69+73.3+66.7)/3</f>
        <v>69.666666666666671</v>
      </c>
      <c r="DS9" s="321">
        <f t="shared" si="185"/>
        <v>4</v>
      </c>
      <c r="DT9" s="350">
        <v>50</v>
      </c>
      <c r="DU9" s="321">
        <f t="shared" si="186"/>
        <v>4</v>
      </c>
      <c r="DV9" s="351">
        <v>33</v>
      </c>
      <c r="DW9" s="347">
        <f t="shared" si="187"/>
        <v>1</v>
      </c>
      <c r="DX9" s="360">
        <v>25</v>
      </c>
      <c r="DY9" s="353">
        <f t="shared" si="188"/>
        <v>1</v>
      </c>
      <c r="DZ9" s="354">
        <f t="shared" si="189"/>
        <v>119.5</v>
      </c>
      <c r="EA9" s="355">
        <f t="shared" si="190"/>
        <v>5</v>
      </c>
      <c r="EB9" s="319"/>
    </row>
    <row r="10">
      <c r="A10" s="104" t="s">
        <v>96</v>
      </c>
      <c r="B10" s="105" t="s">
        <v>89</v>
      </c>
      <c r="C10" s="105">
        <f t="shared" ref="C10:C40" si="191">IF(B10="да",4,0)</f>
        <v>4</v>
      </c>
      <c r="D10" s="105" t="s">
        <v>89</v>
      </c>
      <c r="E10" s="105">
        <f t="shared" ref="E10:E40" si="192">IF(D10="да",4,0)</f>
        <v>4</v>
      </c>
      <c r="F10" s="105" t="s">
        <v>90</v>
      </c>
      <c r="G10" s="105">
        <f t="shared" ref="G10:G40" si="193">IF(F10="+",0.5,0)</f>
        <v>0</v>
      </c>
      <c r="H10" s="105" t="s">
        <v>91</v>
      </c>
      <c r="I10" s="105">
        <f t="shared" ref="I10:I40" si="194">IF(H10="+",1,0)</f>
        <v>1</v>
      </c>
      <c r="J10" s="105" t="s">
        <v>91</v>
      </c>
      <c r="K10" s="105">
        <f t="shared" ref="K10:K40" si="195">IF(J10="+",0.5,0)</f>
        <v>0.5</v>
      </c>
      <c r="L10" s="105" t="s">
        <v>90</v>
      </c>
      <c r="M10" s="105">
        <f t="shared" ref="M10:M40" si="196">IF(L10="+",1,0)</f>
        <v>0</v>
      </c>
      <c r="N10" s="105" t="s">
        <v>89</v>
      </c>
      <c r="O10" s="105">
        <f t="shared" ref="O10:O40" si="197">IF(N10="да",4,0)</f>
        <v>4</v>
      </c>
      <c r="P10" s="105" t="s">
        <v>89</v>
      </c>
      <c r="Q10" s="105">
        <f t="shared" ref="Q10:Q40" si="198">IF(P10="да",0.5,0)</f>
        <v>0.5</v>
      </c>
      <c r="R10" s="105" t="s">
        <v>89</v>
      </c>
      <c r="S10" s="105">
        <f t="shared" ref="S10:S40" si="199">IF(R10="да",0.5,0)</f>
        <v>0.5</v>
      </c>
      <c r="T10" s="105" t="s">
        <v>89</v>
      </c>
      <c r="U10" s="105">
        <f t="shared" ref="U10:U40" si="200">IF(T10="да",0.5,0)</f>
        <v>0.5</v>
      </c>
      <c r="V10" s="105" t="s">
        <v>89</v>
      </c>
      <c r="W10" s="105">
        <f t="shared" ref="W10:W40" si="201">IF(V10="да",0.5,0)</f>
        <v>0.5</v>
      </c>
      <c r="X10" s="105" t="s">
        <v>89</v>
      </c>
      <c r="Y10" s="105">
        <f t="shared" ref="Y10:Y40" si="202">IF(X10="да",4,0)</f>
        <v>4</v>
      </c>
      <c r="Z10" s="105" t="s">
        <v>91</v>
      </c>
      <c r="AA10" s="105">
        <f t="shared" ref="AA10:AA40" si="203">IF(Z10="+",0.5,0)</f>
        <v>0.5</v>
      </c>
      <c r="AB10" s="105" t="s">
        <v>89</v>
      </c>
      <c r="AC10" s="105">
        <f t="shared" ref="AC10:AC40" si="204">IF(AB10="да",4,0)</f>
        <v>4</v>
      </c>
      <c r="AD10" s="105" t="s">
        <v>89</v>
      </c>
      <c r="AE10" s="105">
        <f t="shared" ref="AE10:AE40" si="205">IF(AD10="да",4,0)</f>
        <v>4</v>
      </c>
      <c r="AF10" s="105">
        <v>1</v>
      </c>
      <c r="AG10" s="105">
        <f t="shared" ref="AG10:AG40" si="206">AF10</f>
        <v>1</v>
      </c>
      <c r="AH10" s="105" t="s">
        <v>89</v>
      </c>
      <c r="AI10" s="105">
        <f t="shared" ref="AI10:AI40" si="207">IF(AH10="да",4,0)</f>
        <v>4</v>
      </c>
      <c r="AJ10" s="105" t="s">
        <v>57</v>
      </c>
      <c r="AK10" s="105" t="s">
        <v>90</v>
      </c>
      <c r="AL10" s="108" t="s">
        <v>90</v>
      </c>
      <c r="AM10" s="377">
        <f t="shared" ref="AM10:AM40" si="208">IF(AJ10="нет",4,IF(AK10="да",0,IF(AL10="да",-2,)))</f>
        <v>4</v>
      </c>
      <c r="AN10" s="378">
        <v>90.200000000000003</v>
      </c>
      <c r="AO10" s="379">
        <f t="shared" ref="AO10:AO40" si="209">IF(AN10&lt;=19.99,-2,IF(AN10&lt;=24.99,0,IF(AN10&gt;=25,4)))</f>
        <v>4</v>
      </c>
      <c r="AP10" s="380">
        <v>86.599999999999994</v>
      </c>
      <c r="AQ10" s="379">
        <f t="shared" ref="AQ10:AQ40" si="210">IF(AP10&lt;=14.99,-2,IF(AP10&lt;=24.99,0,IF(AP10&lt;=34.99,2,IF(AP10&gt;=35,4))))</f>
        <v>4</v>
      </c>
      <c r="AR10" s="378">
        <v>1.5</v>
      </c>
      <c r="AS10" s="379">
        <f t="shared" ref="AS10:AS23" si="211">IF(AR10&lt;=0.99,-2,IF(AR10&lt;=1.99,0,IF(AR10&gt;=1.99,4)))</f>
        <v>0</v>
      </c>
      <c r="AT10" s="378">
        <v>3.2000000000000002</v>
      </c>
      <c r="AU10" s="381">
        <f t="shared" ref="AU10:AU40" si="212">IF(AT10&lt;=0.99,-2,IF(AT10&lt;=2.79,0,IF(AT10&gt;=2.8,4)))</f>
        <v>4</v>
      </c>
      <c r="AV10" s="382">
        <v>10.5</v>
      </c>
      <c r="AW10" s="105">
        <f t="shared" ref="AW10:AW40" si="213">IF(AV10&lt;=9.99,2,IF(AV10&lt;=24.99,0,IF(AV10&gt;=25,-4)))</f>
        <v>0</v>
      </c>
      <c r="AX10" s="105" t="s">
        <v>89</v>
      </c>
      <c r="AY10" s="105">
        <f t="shared" ref="AY10:AY40" si="214">IF(AX10="да",4,0)</f>
        <v>4</v>
      </c>
      <c r="AZ10" s="105" t="s">
        <v>89</v>
      </c>
      <c r="BA10" s="105">
        <f t="shared" ref="BA10:BA40" si="215">IF(AZ10="да",0.5,0)</f>
        <v>0.5</v>
      </c>
      <c r="BB10" s="105" t="s">
        <v>89</v>
      </c>
      <c r="BC10" s="105">
        <f t="shared" ref="BC10:BC40" si="216">IF(BB10="да",0.5,0)</f>
        <v>0.5</v>
      </c>
      <c r="BD10" s="105" t="s">
        <v>89</v>
      </c>
      <c r="BE10" s="105">
        <f t="shared" ref="BE10:BE40" si="217">IF(BD10="да",0.5,0)</f>
        <v>0.5</v>
      </c>
      <c r="BF10" s="105" t="s">
        <v>89</v>
      </c>
      <c r="BG10" s="105">
        <f t="shared" ref="BG10:BG40" si="218">IF(BF10="да",0.5,0)</f>
        <v>0.5</v>
      </c>
      <c r="BH10" s="105" t="s">
        <v>89</v>
      </c>
      <c r="BI10" s="105">
        <f t="shared" ref="BI10:BI40" si="219">IF(BH10="да",0.5,0)</f>
        <v>0.5</v>
      </c>
      <c r="BJ10" s="105" t="s">
        <v>89</v>
      </c>
      <c r="BK10" s="105">
        <f t="shared" ref="BK10:BK40" si="220">IF(BJ10="да",4,0)</f>
        <v>4</v>
      </c>
      <c r="BL10" s="105" t="s">
        <v>90</v>
      </c>
      <c r="BM10" s="105">
        <f t="shared" ref="BM10:BM40" si="221">IF(BL10="+",0.5,0)</f>
        <v>0</v>
      </c>
      <c r="BN10" s="105" t="s">
        <v>91</v>
      </c>
      <c r="BO10" s="105">
        <f t="shared" ref="BO10:BO40" si="222">IF(BN10="+",1,0)</f>
        <v>1</v>
      </c>
      <c r="BP10" s="105" t="s">
        <v>90</v>
      </c>
      <c r="BQ10" s="107">
        <f t="shared" ref="BQ10:BQ40" si="223">IF(BP10="+",1.5,0)</f>
        <v>0</v>
      </c>
      <c r="BR10" s="378">
        <v>1550.1999999999998</v>
      </c>
      <c r="BS10" s="382">
        <v>1554.8999999999999</v>
      </c>
      <c r="BT10" s="383">
        <f t="shared" ref="BT10:BT40" si="224">IF(BS10&lt;BR10,-2,IF(BS10=BR10,0,IF((((BS10/BR10)*100)-100)&lt;=5,2,4)))</f>
        <v>2</v>
      </c>
      <c r="BU10" s="117" t="s">
        <v>91</v>
      </c>
      <c r="BV10" s="117">
        <f t="shared" ref="BV10:BV40" si="225">IF(BU10="+",6,0)</f>
        <v>6</v>
      </c>
      <c r="BW10" s="117" t="s">
        <v>90</v>
      </c>
      <c r="BX10" s="117">
        <f t="shared" ref="BX10:BX40" si="226">IF(BW10="+",4,0)</f>
        <v>0</v>
      </c>
      <c r="BY10" s="117" t="s">
        <v>90</v>
      </c>
      <c r="BZ10" s="117">
        <f t="shared" ref="BZ10:BZ40" si="227">IF(BY10="+",2,0)</f>
        <v>0</v>
      </c>
      <c r="CA10" s="117" t="s">
        <v>90</v>
      </c>
      <c r="CB10" s="117">
        <f t="shared" ref="CB10:CB40" si="228">IF(CA10="+",0,0)</f>
        <v>0</v>
      </c>
      <c r="CC10" s="117" t="s">
        <v>90</v>
      </c>
      <c r="CD10" s="117">
        <f t="shared" ref="CD10:CD40" si="229">IF(CC10="+",0.5,0)</f>
        <v>0</v>
      </c>
      <c r="CE10" s="117" t="s">
        <v>90</v>
      </c>
      <c r="CF10" s="117">
        <f t="shared" ref="CF10:CF40" si="230">IF(CE10="+",4,0)</f>
        <v>0</v>
      </c>
      <c r="CG10" s="384">
        <v>277.13</v>
      </c>
      <c r="CH10" s="119">
        <v>261.94</v>
      </c>
      <c r="CI10" s="385">
        <f t="shared" ref="CI10:CI40" si="231">IF(CH10&lt;CG10,-2,IF(CH10=CG10,0,IF(CH10&gt;CG10,4)))</f>
        <v>-2</v>
      </c>
      <c r="CJ10" s="386">
        <v>95709</v>
      </c>
      <c r="CK10" s="386">
        <v>172754.70999999999</v>
      </c>
      <c r="CL10" s="387">
        <f t="shared" ref="CL10:CL40" si="232">IF(CK10&lt;CJ10,-2,IF(CK10=CJ10,0,IF((((CK10/CJ10)*100)-100)&lt;=5,2,4)))</f>
        <v>4</v>
      </c>
      <c r="CM10" s="123" t="s">
        <v>90</v>
      </c>
      <c r="CN10" s="123">
        <f t="shared" ref="CN10:CN40" si="233">IF(CM10="+",6,0)</f>
        <v>0</v>
      </c>
      <c r="CO10" s="123" t="s">
        <v>90</v>
      </c>
      <c r="CP10" s="123">
        <f t="shared" ref="CP10:CP40" si="234">IF(CO10="+",4,0)</f>
        <v>0</v>
      </c>
      <c r="CQ10" s="123" t="s">
        <v>91</v>
      </c>
      <c r="CR10" s="123">
        <f t="shared" ref="CR10:CR40" si="235">IF(CQ10="+",0,0)</f>
        <v>0</v>
      </c>
      <c r="CS10" s="123" t="s">
        <v>90</v>
      </c>
      <c r="CT10" s="123">
        <f t="shared" ref="CT10:CT40" si="236">IF(CS10="+",-2,0)</f>
        <v>0</v>
      </c>
      <c r="CU10" s="146">
        <v>1335.923</v>
      </c>
      <c r="CV10" s="121">
        <v>949.41999999999996</v>
      </c>
      <c r="CW10" s="388">
        <f t="shared" ref="CW10:CW40" si="237">IF(CV10&lt;CU10,-2,IF(CV10=CU10,0,IF((((CV10/CU10)*100)-100)&lt;=5,4,6)))</f>
        <v>-2</v>
      </c>
      <c r="CX10" s="147">
        <v>119.2</v>
      </c>
      <c r="CY10" s="107">
        <f t="shared" ref="CY10:CY40" si="238">IF(CX10&lt;=98.9,-4,IF(CX10&lt;=100.9,0,IF(CX10&lt;=104.9,4,IF(CX10&gt;=105,6))))</f>
        <v>6</v>
      </c>
      <c r="CZ10" s="386">
        <v>964259</v>
      </c>
      <c r="DA10" s="389">
        <v>1156515</v>
      </c>
      <c r="DB10" s="105">
        <f t="shared" ref="DB10:DB40" si="239">IF(DA10&lt;=CZ10,0,IF((((DA10/CZ10)*100)-100)&lt;=5,4,6))</f>
        <v>6</v>
      </c>
      <c r="DC10" s="105">
        <v>4</v>
      </c>
      <c r="DD10" s="105" t="s">
        <v>89</v>
      </c>
      <c r="DE10" s="183">
        <f t="shared" ref="DE10:DE40" si="240">IF(DD10="да",4,0)</f>
        <v>4</v>
      </c>
      <c r="DF10" s="157">
        <v>92.700000000000003</v>
      </c>
      <c r="DG10" s="183">
        <f t="shared" ref="DG10:DG40" si="241">IF(DF10&lt;=29.99,0,IF(DF10&lt;=49.99,2,IF(DF10&gt;=50,4)))</f>
        <v>4</v>
      </c>
      <c r="DH10" s="117" t="s">
        <v>57</v>
      </c>
      <c r="DI10" s="390">
        <f t="shared" ref="DI10:DI40" si="242">IF(DH10="да",1,0)</f>
        <v>0</v>
      </c>
      <c r="DJ10" s="133" t="s">
        <v>89</v>
      </c>
      <c r="DK10" s="391">
        <f t="shared" ref="DK10:DK40" si="243">IF(DJ10="да",4,0)</f>
        <v>4</v>
      </c>
      <c r="DL10" s="133" t="s">
        <v>89</v>
      </c>
      <c r="DM10" s="392">
        <f t="shared" ref="DM10:DM40" si="244">IF(DL10="да",4,0)</f>
        <v>4</v>
      </c>
      <c r="DN10" s="183" t="s">
        <v>91</v>
      </c>
      <c r="DO10" s="167">
        <f t="shared" ref="DO10:DO40" si="245">IF(DN10="+",4,0)</f>
        <v>4</v>
      </c>
      <c r="DP10" s="183" t="s">
        <v>90</v>
      </c>
      <c r="DQ10" s="183">
        <f t="shared" ref="DQ10:DQ40" si="246">IF(DP10="+",0,0)</f>
        <v>0</v>
      </c>
      <c r="DR10" s="149">
        <f>(56.1+59.5+52.4)/3</f>
        <v>56</v>
      </c>
      <c r="DS10" s="105">
        <f t="shared" ref="DS10:DS40" si="247">IF(DR10&lt;=19.99,-4,IF(DR10&lt;=29.99,0,IF(DR10&lt;=49.99,2,IF(DR10&gt;=50,4))))</f>
        <v>4</v>
      </c>
      <c r="DT10" s="149">
        <v>33.299999999999997</v>
      </c>
      <c r="DU10" s="105">
        <f t="shared" ref="DU10:DU40" si="248">IF(DT10&lt;=9.99,-4,IF(DT10&lt;=29.99,1,IF(DT10&lt;=49.99,2,IF(DT10&gt;=50,4))))</f>
        <v>2</v>
      </c>
      <c r="DV10" s="138">
        <v>33.299999999999997</v>
      </c>
      <c r="DW10" s="139">
        <f t="shared" ref="DW10:DW40" si="249">IF(DV10&lt;=19.99,-2,IF(DV10&lt;=39.99,1,IF(DV10&lt;=54.99,2,IF(DV10&gt;=55,4))))</f>
        <v>1</v>
      </c>
      <c r="DX10" s="150">
        <v>33.299999999999997</v>
      </c>
      <c r="DY10" s="141">
        <f t="shared" ref="DY10:DY40" si="250">IF(DX10&lt;=9.99,-2,IF(DX10&lt;=29.99,1,IF(DX10&lt;=49.99,2,IF(DX10&gt;=50,4))))</f>
        <v>2</v>
      </c>
      <c r="DZ10" s="142">
        <f t="shared" ref="DZ10:DZ40" si="251">SUM(C10,E10,G10,I10,K10,M10,O10,Q10,S10,U10,W10,Y10,AA10,AC10,AE10,AG10,AI10,AM10,AO10,AQ10,AS10,AU10,AW10,AY10,BA10,BC10,BE10,BG10,BI10,BK10,BM10,BO10,BQ10,BT10,BV10,BX10,BZ10,CB10,CD10,CF10,CI10,CL10,CN10,CP10,CR10,CT10,CW10,CY10,DB10,DC10,DE10,DG10,DI10,DK10,DM10,DO10,DQ10,DS10,DU10,DW10,DY10)</f>
        <v>113.5</v>
      </c>
      <c r="EA10" s="143">
        <f t="shared" ref="EA10:EA34" si="252">RANK(DZ10,DZ$5:DZ$34,0)</f>
        <v>6</v>
      </c>
    </row>
    <row r="11">
      <c r="A11" s="104" t="s">
        <v>97</v>
      </c>
      <c r="B11" s="105" t="s">
        <v>89</v>
      </c>
      <c r="C11" s="105">
        <f t="shared" si="191"/>
        <v>4</v>
      </c>
      <c r="D11" s="105" t="s">
        <v>89</v>
      </c>
      <c r="E11" s="105">
        <f t="shared" si="192"/>
        <v>4</v>
      </c>
      <c r="F11" s="105" t="s">
        <v>90</v>
      </c>
      <c r="G11" s="105">
        <f t="shared" si="193"/>
        <v>0</v>
      </c>
      <c r="H11" s="105" t="s">
        <v>91</v>
      </c>
      <c r="I11" s="105">
        <f t="shared" si="194"/>
        <v>1</v>
      </c>
      <c r="J11" s="105" t="s">
        <v>91</v>
      </c>
      <c r="K11" s="105">
        <f t="shared" si="195"/>
        <v>0.5</v>
      </c>
      <c r="L11" s="105" t="s">
        <v>90</v>
      </c>
      <c r="M11" s="105">
        <f t="shared" si="196"/>
        <v>0</v>
      </c>
      <c r="N11" s="105" t="s">
        <v>89</v>
      </c>
      <c r="O11" s="105">
        <f t="shared" si="197"/>
        <v>4</v>
      </c>
      <c r="P11" s="105" t="s">
        <v>89</v>
      </c>
      <c r="Q11" s="105">
        <f t="shared" si="198"/>
        <v>0.5</v>
      </c>
      <c r="R11" s="105" t="s">
        <v>89</v>
      </c>
      <c r="S11" s="105">
        <f t="shared" si="199"/>
        <v>0.5</v>
      </c>
      <c r="T11" s="105" t="s">
        <v>89</v>
      </c>
      <c r="U11" s="105">
        <f t="shared" si="200"/>
        <v>0.5</v>
      </c>
      <c r="V11" s="105" t="s">
        <v>89</v>
      </c>
      <c r="W11" s="105">
        <f t="shared" si="201"/>
        <v>0.5</v>
      </c>
      <c r="X11" s="105" t="s">
        <v>89</v>
      </c>
      <c r="Y11" s="105">
        <f t="shared" si="202"/>
        <v>4</v>
      </c>
      <c r="Z11" s="105" t="s">
        <v>91</v>
      </c>
      <c r="AA11" s="105">
        <f t="shared" si="203"/>
        <v>0.5</v>
      </c>
      <c r="AB11" s="105" t="s">
        <v>89</v>
      </c>
      <c r="AC11" s="105">
        <f t="shared" si="204"/>
        <v>4</v>
      </c>
      <c r="AD11" s="105" t="s">
        <v>89</v>
      </c>
      <c r="AE11" s="105">
        <f t="shared" si="205"/>
        <v>4</v>
      </c>
      <c r="AF11" s="105">
        <v>2</v>
      </c>
      <c r="AG11" s="105">
        <f t="shared" si="206"/>
        <v>2</v>
      </c>
      <c r="AH11" s="105" t="s">
        <v>89</v>
      </c>
      <c r="AI11" s="105">
        <f t="shared" si="207"/>
        <v>4</v>
      </c>
      <c r="AJ11" s="105" t="s">
        <v>90</v>
      </c>
      <c r="AK11" s="105" t="s">
        <v>89</v>
      </c>
      <c r="AL11" s="108" t="s">
        <v>90</v>
      </c>
      <c r="AM11" s="377">
        <f t="shared" si="208"/>
        <v>0</v>
      </c>
      <c r="AN11" s="378">
        <v>91.299999999999997</v>
      </c>
      <c r="AO11" s="379">
        <f t="shared" si="209"/>
        <v>4</v>
      </c>
      <c r="AP11" s="380">
        <v>51.899999999999999</v>
      </c>
      <c r="AQ11" s="379">
        <f t="shared" si="210"/>
        <v>4</v>
      </c>
      <c r="AR11" s="378">
        <v>2.2000000000000002</v>
      </c>
      <c r="AS11" s="379">
        <f t="shared" si="211"/>
        <v>4</v>
      </c>
      <c r="AT11" s="378">
        <v>2.5</v>
      </c>
      <c r="AU11" s="381">
        <f t="shared" si="212"/>
        <v>0</v>
      </c>
      <c r="AV11" s="382">
        <v>2.5</v>
      </c>
      <c r="AW11" s="105">
        <f t="shared" si="213"/>
        <v>2</v>
      </c>
      <c r="AX11" s="105" t="s">
        <v>89</v>
      </c>
      <c r="AY11" s="105">
        <f t="shared" si="214"/>
        <v>4</v>
      </c>
      <c r="AZ11" s="105" t="s">
        <v>89</v>
      </c>
      <c r="BA11" s="105">
        <f t="shared" si="215"/>
        <v>0.5</v>
      </c>
      <c r="BB11" s="105" t="s">
        <v>89</v>
      </c>
      <c r="BC11" s="105">
        <f t="shared" si="216"/>
        <v>0.5</v>
      </c>
      <c r="BD11" s="105" t="s">
        <v>89</v>
      </c>
      <c r="BE11" s="105">
        <f t="shared" si="217"/>
        <v>0.5</v>
      </c>
      <c r="BF11" s="105" t="s">
        <v>89</v>
      </c>
      <c r="BG11" s="105">
        <f t="shared" si="218"/>
        <v>0.5</v>
      </c>
      <c r="BH11" s="105" t="s">
        <v>89</v>
      </c>
      <c r="BI11" s="105">
        <f t="shared" si="219"/>
        <v>0.5</v>
      </c>
      <c r="BJ11" s="105" t="s">
        <v>89</v>
      </c>
      <c r="BK11" s="105">
        <f t="shared" si="220"/>
        <v>4</v>
      </c>
      <c r="BL11" s="105" t="s">
        <v>91</v>
      </c>
      <c r="BM11" s="105">
        <f t="shared" si="221"/>
        <v>0.5</v>
      </c>
      <c r="BN11" s="105" t="s">
        <v>90</v>
      </c>
      <c r="BO11" s="105">
        <f t="shared" si="222"/>
        <v>0</v>
      </c>
      <c r="BP11" s="105" t="s">
        <v>90</v>
      </c>
      <c r="BQ11" s="107">
        <f t="shared" si="223"/>
        <v>0</v>
      </c>
      <c r="BR11" s="378">
        <v>2101</v>
      </c>
      <c r="BS11" s="382">
        <v>1640.5</v>
      </c>
      <c r="BT11" s="383">
        <f t="shared" si="224"/>
        <v>-2</v>
      </c>
      <c r="BU11" s="117" t="s">
        <v>91</v>
      </c>
      <c r="BV11" s="117">
        <f t="shared" si="225"/>
        <v>6</v>
      </c>
      <c r="BW11" s="117" t="s">
        <v>90</v>
      </c>
      <c r="BX11" s="117">
        <f t="shared" si="226"/>
        <v>0</v>
      </c>
      <c r="BY11" s="117" t="s">
        <v>90</v>
      </c>
      <c r="BZ11" s="117">
        <f t="shared" si="227"/>
        <v>0</v>
      </c>
      <c r="CA11" s="117" t="s">
        <v>90</v>
      </c>
      <c r="CB11" s="117">
        <f t="shared" si="228"/>
        <v>0</v>
      </c>
      <c r="CC11" s="117" t="s">
        <v>90</v>
      </c>
      <c r="CD11" s="117">
        <f t="shared" si="229"/>
        <v>0</v>
      </c>
      <c r="CE11" s="117" t="s">
        <v>91</v>
      </c>
      <c r="CF11" s="117">
        <f t="shared" si="230"/>
        <v>4</v>
      </c>
      <c r="CG11" s="384">
        <v>277.13</v>
      </c>
      <c r="CH11" s="119">
        <v>200.06</v>
      </c>
      <c r="CI11" s="385">
        <f t="shared" si="231"/>
        <v>-2</v>
      </c>
      <c r="CJ11" s="386">
        <v>122921</v>
      </c>
      <c r="CK11" s="386">
        <v>133938.13</v>
      </c>
      <c r="CL11" s="387">
        <f t="shared" si="232"/>
        <v>4</v>
      </c>
      <c r="CM11" s="123" t="s">
        <v>90</v>
      </c>
      <c r="CN11" s="123">
        <f t="shared" si="233"/>
        <v>0</v>
      </c>
      <c r="CO11" s="123" t="s">
        <v>91</v>
      </c>
      <c r="CP11" s="123">
        <f t="shared" si="234"/>
        <v>4</v>
      </c>
      <c r="CQ11" s="123" t="s">
        <v>90</v>
      </c>
      <c r="CR11" s="123">
        <f t="shared" si="235"/>
        <v>0</v>
      </c>
      <c r="CS11" s="123" t="s">
        <v>90</v>
      </c>
      <c r="CT11" s="123">
        <f t="shared" si="236"/>
        <v>0</v>
      </c>
      <c r="CU11" s="121">
        <v>428.97399999999999</v>
      </c>
      <c r="CV11" s="121">
        <v>1110.22</v>
      </c>
      <c r="CW11" s="388">
        <f t="shared" si="237"/>
        <v>6</v>
      </c>
      <c r="CX11" s="147">
        <v>119.2</v>
      </c>
      <c r="CY11" s="107">
        <f t="shared" si="238"/>
        <v>6</v>
      </c>
      <c r="CZ11" s="386">
        <v>585214</v>
      </c>
      <c r="DA11" s="389">
        <v>712712</v>
      </c>
      <c r="DB11" s="105">
        <f t="shared" si="239"/>
        <v>6</v>
      </c>
      <c r="DC11" s="105">
        <v>-2</v>
      </c>
      <c r="DD11" s="105" t="s">
        <v>89</v>
      </c>
      <c r="DE11" s="183">
        <f t="shared" si="240"/>
        <v>4</v>
      </c>
      <c r="DF11" s="157">
        <v>84.299999999999997</v>
      </c>
      <c r="DG11" s="183">
        <f t="shared" si="241"/>
        <v>4</v>
      </c>
      <c r="DH11" s="117" t="s">
        <v>57</v>
      </c>
      <c r="DI11" s="390">
        <f t="shared" si="242"/>
        <v>0</v>
      </c>
      <c r="DJ11" s="133" t="s">
        <v>89</v>
      </c>
      <c r="DK11" s="391">
        <f t="shared" si="243"/>
        <v>4</v>
      </c>
      <c r="DL11" s="133" t="s">
        <v>89</v>
      </c>
      <c r="DM11" s="392">
        <f t="shared" si="244"/>
        <v>4</v>
      </c>
      <c r="DN11" s="393" t="s">
        <v>90</v>
      </c>
      <c r="DO11" s="170">
        <f t="shared" si="245"/>
        <v>0</v>
      </c>
      <c r="DP11" s="392" t="s">
        <v>91</v>
      </c>
      <c r="DQ11" s="183">
        <f t="shared" si="246"/>
        <v>0</v>
      </c>
      <c r="DR11" s="149">
        <f>(85.7+72.2+66.7)/3</f>
        <v>74.866666666666674</v>
      </c>
      <c r="DS11" s="105">
        <f t="shared" si="247"/>
        <v>4</v>
      </c>
      <c r="DT11" s="149">
        <v>83.299999999999997</v>
      </c>
      <c r="DU11" s="105">
        <f t="shared" si="248"/>
        <v>4</v>
      </c>
      <c r="DV11" s="138">
        <v>0</v>
      </c>
      <c r="DW11" s="139">
        <f t="shared" si="249"/>
        <v>-2</v>
      </c>
      <c r="DX11" s="150">
        <v>33.299999999999997</v>
      </c>
      <c r="DY11" s="141">
        <f t="shared" si="250"/>
        <v>2</v>
      </c>
      <c r="DZ11" s="142">
        <f t="shared" si="251"/>
        <v>113</v>
      </c>
      <c r="EA11" s="143">
        <f t="shared" si="252"/>
        <v>7</v>
      </c>
    </row>
    <row r="12">
      <c r="A12" s="104" t="s">
        <v>98</v>
      </c>
      <c r="B12" s="105" t="s">
        <v>89</v>
      </c>
      <c r="C12" s="105">
        <f t="shared" si="191"/>
        <v>4</v>
      </c>
      <c r="D12" s="105" t="s">
        <v>89</v>
      </c>
      <c r="E12" s="105">
        <f t="shared" si="192"/>
        <v>4</v>
      </c>
      <c r="F12" s="105" t="s">
        <v>90</v>
      </c>
      <c r="G12" s="105">
        <f t="shared" si="193"/>
        <v>0</v>
      </c>
      <c r="H12" s="105" t="s">
        <v>91</v>
      </c>
      <c r="I12" s="105">
        <f t="shared" si="194"/>
        <v>1</v>
      </c>
      <c r="J12" s="105" t="s">
        <v>91</v>
      </c>
      <c r="K12" s="105">
        <f t="shared" si="195"/>
        <v>0.5</v>
      </c>
      <c r="L12" s="105" t="s">
        <v>90</v>
      </c>
      <c r="M12" s="105">
        <f t="shared" si="196"/>
        <v>0</v>
      </c>
      <c r="N12" s="105" t="s">
        <v>89</v>
      </c>
      <c r="O12" s="105">
        <f t="shared" si="197"/>
        <v>4</v>
      </c>
      <c r="P12" s="105" t="s">
        <v>89</v>
      </c>
      <c r="Q12" s="105">
        <f t="shared" si="198"/>
        <v>0.5</v>
      </c>
      <c r="R12" s="105" t="s">
        <v>89</v>
      </c>
      <c r="S12" s="105">
        <f t="shared" si="199"/>
        <v>0.5</v>
      </c>
      <c r="T12" s="105" t="s">
        <v>89</v>
      </c>
      <c r="U12" s="105">
        <f t="shared" si="200"/>
        <v>0.5</v>
      </c>
      <c r="V12" s="105" t="s">
        <v>89</v>
      </c>
      <c r="W12" s="105">
        <f t="shared" si="201"/>
        <v>0.5</v>
      </c>
      <c r="X12" s="105" t="s">
        <v>89</v>
      </c>
      <c r="Y12" s="105">
        <f t="shared" si="202"/>
        <v>4</v>
      </c>
      <c r="Z12" s="105" t="s">
        <v>91</v>
      </c>
      <c r="AA12" s="105">
        <f t="shared" si="203"/>
        <v>0.5</v>
      </c>
      <c r="AB12" s="105" t="s">
        <v>89</v>
      </c>
      <c r="AC12" s="105">
        <f t="shared" si="204"/>
        <v>4</v>
      </c>
      <c r="AD12" s="105" t="s">
        <v>89</v>
      </c>
      <c r="AE12" s="105">
        <f t="shared" si="205"/>
        <v>4</v>
      </c>
      <c r="AF12" s="105">
        <v>4</v>
      </c>
      <c r="AG12" s="105">
        <f t="shared" si="206"/>
        <v>4</v>
      </c>
      <c r="AH12" s="105" t="s">
        <v>89</v>
      </c>
      <c r="AI12" s="105">
        <f t="shared" si="207"/>
        <v>4</v>
      </c>
      <c r="AJ12" s="105" t="s">
        <v>57</v>
      </c>
      <c r="AK12" s="105" t="s">
        <v>90</v>
      </c>
      <c r="AL12" s="108" t="s">
        <v>90</v>
      </c>
      <c r="AM12" s="377">
        <f t="shared" si="208"/>
        <v>4</v>
      </c>
      <c r="AN12" s="378">
        <v>56.399999999999999</v>
      </c>
      <c r="AO12" s="379">
        <f t="shared" si="209"/>
        <v>4</v>
      </c>
      <c r="AP12" s="380">
        <v>61.200000000000003</v>
      </c>
      <c r="AQ12" s="379">
        <f t="shared" si="210"/>
        <v>4</v>
      </c>
      <c r="AR12" s="378">
        <v>2</v>
      </c>
      <c r="AS12" s="379">
        <f t="shared" si="211"/>
        <v>4</v>
      </c>
      <c r="AT12" s="378">
        <v>3.3999999999999999</v>
      </c>
      <c r="AU12" s="381">
        <f t="shared" si="212"/>
        <v>4</v>
      </c>
      <c r="AV12" s="382">
        <v>11.800000000000001</v>
      </c>
      <c r="AW12" s="105">
        <f t="shared" si="213"/>
        <v>0</v>
      </c>
      <c r="AX12" s="105" t="s">
        <v>89</v>
      </c>
      <c r="AY12" s="105">
        <f t="shared" si="214"/>
        <v>4</v>
      </c>
      <c r="AZ12" s="105" t="s">
        <v>89</v>
      </c>
      <c r="BA12" s="105">
        <f t="shared" si="215"/>
        <v>0.5</v>
      </c>
      <c r="BB12" s="105" t="s">
        <v>89</v>
      </c>
      <c r="BC12" s="105">
        <f t="shared" si="216"/>
        <v>0.5</v>
      </c>
      <c r="BD12" s="105" t="s">
        <v>89</v>
      </c>
      <c r="BE12" s="105">
        <f t="shared" si="217"/>
        <v>0.5</v>
      </c>
      <c r="BF12" s="105" t="s">
        <v>89</v>
      </c>
      <c r="BG12" s="105">
        <f t="shared" si="218"/>
        <v>0.5</v>
      </c>
      <c r="BH12" s="105" t="s">
        <v>89</v>
      </c>
      <c r="BI12" s="105">
        <f t="shared" si="219"/>
        <v>0.5</v>
      </c>
      <c r="BJ12" s="105" t="s">
        <v>89</v>
      </c>
      <c r="BK12" s="105">
        <f t="shared" si="220"/>
        <v>4</v>
      </c>
      <c r="BL12" s="105" t="s">
        <v>90</v>
      </c>
      <c r="BM12" s="105">
        <f t="shared" si="221"/>
        <v>0</v>
      </c>
      <c r="BN12" s="105" t="s">
        <v>91</v>
      </c>
      <c r="BO12" s="105">
        <f t="shared" si="222"/>
        <v>1</v>
      </c>
      <c r="BP12" s="105" t="s">
        <v>90</v>
      </c>
      <c r="BQ12" s="107">
        <f t="shared" si="223"/>
        <v>0</v>
      </c>
      <c r="BR12" s="378">
        <v>2192.4000000000001</v>
      </c>
      <c r="BS12" s="382">
        <v>1366.0999999999999</v>
      </c>
      <c r="BT12" s="383">
        <f t="shared" si="224"/>
        <v>-2</v>
      </c>
      <c r="BU12" s="117" t="s">
        <v>90</v>
      </c>
      <c r="BV12" s="117">
        <f t="shared" si="225"/>
        <v>0</v>
      </c>
      <c r="BW12" s="117" t="s">
        <v>90</v>
      </c>
      <c r="BX12" s="117">
        <f t="shared" si="226"/>
        <v>0</v>
      </c>
      <c r="BY12" s="117" t="s">
        <v>91</v>
      </c>
      <c r="BZ12" s="117">
        <f t="shared" si="227"/>
        <v>2</v>
      </c>
      <c r="CA12" s="117" t="s">
        <v>90</v>
      </c>
      <c r="CB12" s="117">
        <f t="shared" si="228"/>
        <v>0</v>
      </c>
      <c r="CC12" s="117" t="s">
        <v>90</v>
      </c>
      <c r="CD12" s="117">
        <f t="shared" si="229"/>
        <v>0</v>
      </c>
      <c r="CE12" s="117" t="s">
        <v>90</v>
      </c>
      <c r="CF12" s="117">
        <f t="shared" si="230"/>
        <v>0</v>
      </c>
      <c r="CG12" s="384">
        <v>277.13</v>
      </c>
      <c r="CH12" s="119">
        <v>235.93000000000001</v>
      </c>
      <c r="CI12" s="385">
        <f t="shared" si="231"/>
        <v>-2</v>
      </c>
      <c r="CJ12" s="386">
        <v>119088</v>
      </c>
      <c r="CK12" s="386">
        <v>128725.00999999999</v>
      </c>
      <c r="CL12" s="387">
        <f t="shared" si="232"/>
        <v>4</v>
      </c>
      <c r="CM12" s="123" t="s">
        <v>91</v>
      </c>
      <c r="CN12" s="123">
        <f t="shared" si="233"/>
        <v>6</v>
      </c>
      <c r="CO12" s="123" t="s">
        <v>90</v>
      </c>
      <c r="CP12" s="123">
        <f t="shared" si="234"/>
        <v>0</v>
      </c>
      <c r="CQ12" s="123" t="s">
        <v>90</v>
      </c>
      <c r="CR12" s="123">
        <f t="shared" si="235"/>
        <v>0</v>
      </c>
      <c r="CS12" s="123" t="s">
        <v>90</v>
      </c>
      <c r="CT12" s="123">
        <f t="shared" si="236"/>
        <v>0</v>
      </c>
      <c r="CU12" s="146">
        <v>1762.9159999999999</v>
      </c>
      <c r="CV12" s="121">
        <v>1030.53</v>
      </c>
      <c r="CW12" s="388">
        <f t="shared" si="237"/>
        <v>-2</v>
      </c>
      <c r="CX12" s="147">
        <v>119.8</v>
      </c>
      <c r="CY12" s="107">
        <f t="shared" si="238"/>
        <v>6</v>
      </c>
      <c r="CZ12" s="386">
        <v>1560763</v>
      </c>
      <c r="DA12" s="389">
        <v>2111018</v>
      </c>
      <c r="DB12" s="105">
        <f t="shared" si="239"/>
        <v>6</v>
      </c>
      <c r="DC12" s="105">
        <v>0</v>
      </c>
      <c r="DD12" s="105" t="s">
        <v>89</v>
      </c>
      <c r="DE12" s="183">
        <f t="shared" si="240"/>
        <v>4</v>
      </c>
      <c r="DF12" s="157">
        <v>76.799999999999997</v>
      </c>
      <c r="DG12" s="183">
        <f t="shared" si="241"/>
        <v>4</v>
      </c>
      <c r="DH12" s="117" t="s">
        <v>57</v>
      </c>
      <c r="DI12" s="390">
        <f t="shared" si="242"/>
        <v>0</v>
      </c>
      <c r="DJ12" s="133" t="s">
        <v>89</v>
      </c>
      <c r="DK12" s="391">
        <f t="shared" si="243"/>
        <v>4</v>
      </c>
      <c r="DL12" s="133" t="s">
        <v>89</v>
      </c>
      <c r="DM12" s="392">
        <f t="shared" si="244"/>
        <v>4</v>
      </c>
      <c r="DN12" s="393" t="s">
        <v>90</v>
      </c>
      <c r="DO12" s="170">
        <f t="shared" si="245"/>
        <v>0</v>
      </c>
      <c r="DP12" s="392" t="s">
        <v>91</v>
      </c>
      <c r="DQ12" s="183">
        <f t="shared" si="246"/>
        <v>0</v>
      </c>
      <c r="DR12" s="149">
        <f>(47.1+40+45.7)/3</f>
        <v>44.266666666666673</v>
      </c>
      <c r="DS12" s="105">
        <f t="shared" si="247"/>
        <v>2</v>
      </c>
      <c r="DT12" s="149">
        <v>55.600000000000001</v>
      </c>
      <c r="DU12" s="105">
        <f t="shared" si="248"/>
        <v>4</v>
      </c>
      <c r="DV12" s="138">
        <v>44.399999999999999</v>
      </c>
      <c r="DW12" s="139">
        <f t="shared" si="249"/>
        <v>2</v>
      </c>
      <c r="DX12" s="150">
        <v>33.299999999999997</v>
      </c>
      <c r="DY12" s="141">
        <f t="shared" si="250"/>
        <v>2</v>
      </c>
      <c r="DZ12" s="142">
        <f t="shared" si="251"/>
        <v>111.5</v>
      </c>
      <c r="EA12" s="143">
        <f t="shared" si="252"/>
        <v>8</v>
      </c>
    </row>
    <row r="13">
      <c r="A13" s="104" t="s">
        <v>99</v>
      </c>
      <c r="B13" s="105" t="s">
        <v>89</v>
      </c>
      <c r="C13" s="105">
        <f t="shared" si="191"/>
        <v>4</v>
      </c>
      <c r="D13" s="105" t="s">
        <v>89</v>
      </c>
      <c r="E13" s="105">
        <f t="shared" si="192"/>
        <v>4</v>
      </c>
      <c r="F13" s="105" t="s">
        <v>90</v>
      </c>
      <c r="G13" s="105">
        <f t="shared" si="193"/>
        <v>0</v>
      </c>
      <c r="H13" s="105" t="s">
        <v>91</v>
      </c>
      <c r="I13" s="105">
        <f t="shared" si="194"/>
        <v>1</v>
      </c>
      <c r="J13" s="105" t="s">
        <v>90</v>
      </c>
      <c r="K13" s="105">
        <f t="shared" si="195"/>
        <v>0</v>
      </c>
      <c r="L13" s="105" t="s">
        <v>91</v>
      </c>
      <c r="M13" s="105">
        <f t="shared" si="196"/>
        <v>1</v>
      </c>
      <c r="N13" s="105" t="s">
        <v>89</v>
      </c>
      <c r="O13" s="105">
        <f t="shared" si="197"/>
        <v>4</v>
      </c>
      <c r="P13" s="105" t="s">
        <v>89</v>
      </c>
      <c r="Q13" s="105">
        <f t="shared" si="198"/>
        <v>0.5</v>
      </c>
      <c r="R13" s="105" t="s">
        <v>89</v>
      </c>
      <c r="S13" s="105">
        <f t="shared" si="199"/>
        <v>0.5</v>
      </c>
      <c r="T13" s="105" t="s">
        <v>89</v>
      </c>
      <c r="U13" s="105">
        <f t="shared" si="200"/>
        <v>0.5</v>
      </c>
      <c r="V13" s="105" t="s">
        <v>89</v>
      </c>
      <c r="W13" s="105">
        <f t="shared" si="201"/>
        <v>0.5</v>
      </c>
      <c r="X13" s="105" t="s">
        <v>89</v>
      </c>
      <c r="Y13" s="105">
        <f t="shared" si="202"/>
        <v>4</v>
      </c>
      <c r="Z13" s="105" t="s">
        <v>91</v>
      </c>
      <c r="AA13" s="105">
        <f t="shared" si="203"/>
        <v>0.5</v>
      </c>
      <c r="AB13" s="105" t="s">
        <v>89</v>
      </c>
      <c r="AC13" s="105">
        <f t="shared" si="204"/>
        <v>4</v>
      </c>
      <c r="AD13" s="105" t="s">
        <v>89</v>
      </c>
      <c r="AE13" s="105">
        <f t="shared" si="205"/>
        <v>4</v>
      </c>
      <c r="AF13" s="105">
        <v>3</v>
      </c>
      <c r="AG13" s="105">
        <f t="shared" si="206"/>
        <v>3</v>
      </c>
      <c r="AH13" s="105" t="s">
        <v>89</v>
      </c>
      <c r="AI13" s="105">
        <f t="shared" si="207"/>
        <v>4</v>
      </c>
      <c r="AJ13" s="105" t="s">
        <v>57</v>
      </c>
      <c r="AK13" s="105" t="s">
        <v>90</v>
      </c>
      <c r="AL13" s="108" t="s">
        <v>90</v>
      </c>
      <c r="AM13" s="377">
        <f t="shared" si="208"/>
        <v>4</v>
      </c>
      <c r="AN13" s="378">
        <v>94.400000000000006</v>
      </c>
      <c r="AO13" s="379">
        <f t="shared" si="209"/>
        <v>4</v>
      </c>
      <c r="AP13" s="380">
        <v>52.100000000000001</v>
      </c>
      <c r="AQ13" s="379">
        <f t="shared" si="210"/>
        <v>4</v>
      </c>
      <c r="AR13" s="378">
        <v>1</v>
      </c>
      <c r="AS13" s="379">
        <f t="shared" si="211"/>
        <v>0</v>
      </c>
      <c r="AT13" s="378">
        <v>2</v>
      </c>
      <c r="AU13" s="381">
        <f t="shared" si="212"/>
        <v>0</v>
      </c>
      <c r="AV13" s="382">
        <v>7.5999999999999996</v>
      </c>
      <c r="AW13" s="105">
        <f t="shared" si="213"/>
        <v>2</v>
      </c>
      <c r="AX13" s="105" t="s">
        <v>89</v>
      </c>
      <c r="AY13" s="105">
        <f t="shared" si="214"/>
        <v>4</v>
      </c>
      <c r="AZ13" s="105" t="s">
        <v>89</v>
      </c>
      <c r="BA13" s="105">
        <f t="shared" si="215"/>
        <v>0.5</v>
      </c>
      <c r="BB13" s="105" t="s">
        <v>89</v>
      </c>
      <c r="BC13" s="105">
        <f t="shared" si="216"/>
        <v>0.5</v>
      </c>
      <c r="BD13" s="105" t="s">
        <v>89</v>
      </c>
      <c r="BE13" s="105">
        <f t="shared" si="217"/>
        <v>0.5</v>
      </c>
      <c r="BF13" s="105" t="s">
        <v>89</v>
      </c>
      <c r="BG13" s="105">
        <f t="shared" si="218"/>
        <v>0.5</v>
      </c>
      <c r="BH13" s="105" t="s">
        <v>89</v>
      </c>
      <c r="BI13" s="105">
        <f t="shared" si="219"/>
        <v>0.5</v>
      </c>
      <c r="BJ13" s="105" t="s">
        <v>89</v>
      </c>
      <c r="BK13" s="105">
        <f t="shared" si="220"/>
        <v>4</v>
      </c>
      <c r="BL13" s="105" t="s">
        <v>90</v>
      </c>
      <c r="BM13" s="105">
        <f t="shared" si="221"/>
        <v>0</v>
      </c>
      <c r="BN13" s="105" t="s">
        <v>90</v>
      </c>
      <c r="BO13" s="105">
        <f t="shared" si="222"/>
        <v>0</v>
      </c>
      <c r="BP13" s="105" t="s">
        <v>91</v>
      </c>
      <c r="BQ13" s="107">
        <f t="shared" si="223"/>
        <v>1.5</v>
      </c>
      <c r="BR13" s="378">
        <v>3250</v>
      </c>
      <c r="BS13" s="382">
        <v>3737</v>
      </c>
      <c r="BT13" s="383">
        <f t="shared" si="224"/>
        <v>4</v>
      </c>
      <c r="BU13" s="117" t="s">
        <v>91</v>
      </c>
      <c r="BV13" s="117">
        <f t="shared" si="225"/>
        <v>6</v>
      </c>
      <c r="BW13" s="117" t="s">
        <v>90</v>
      </c>
      <c r="BX13" s="117">
        <f t="shared" si="226"/>
        <v>0</v>
      </c>
      <c r="BY13" s="117" t="s">
        <v>90</v>
      </c>
      <c r="BZ13" s="117">
        <f t="shared" si="227"/>
        <v>0</v>
      </c>
      <c r="CA13" s="117" t="s">
        <v>90</v>
      </c>
      <c r="CB13" s="117">
        <f t="shared" si="228"/>
        <v>0</v>
      </c>
      <c r="CC13" s="117" t="s">
        <v>90</v>
      </c>
      <c r="CD13" s="117">
        <f t="shared" si="229"/>
        <v>0</v>
      </c>
      <c r="CE13" s="117" t="s">
        <v>90</v>
      </c>
      <c r="CF13" s="117">
        <f t="shared" si="230"/>
        <v>0</v>
      </c>
      <c r="CG13" s="384">
        <v>277.13</v>
      </c>
      <c r="CH13" s="119">
        <v>210.83000000000001</v>
      </c>
      <c r="CI13" s="385">
        <f t="shared" si="231"/>
        <v>-2</v>
      </c>
      <c r="CJ13" s="386">
        <v>127598</v>
      </c>
      <c r="CK13" s="386">
        <v>150379.39999999999</v>
      </c>
      <c r="CL13" s="387">
        <f t="shared" si="232"/>
        <v>4</v>
      </c>
      <c r="CM13" s="123" t="s">
        <v>90</v>
      </c>
      <c r="CN13" s="123">
        <f t="shared" si="233"/>
        <v>0</v>
      </c>
      <c r="CO13" s="123" t="s">
        <v>91</v>
      </c>
      <c r="CP13" s="123">
        <f t="shared" si="234"/>
        <v>4</v>
      </c>
      <c r="CQ13" s="123" t="s">
        <v>90</v>
      </c>
      <c r="CR13" s="123">
        <f t="shared" si="235"/>
        <v>0</v>
      </c>
      <c r="CS13" s="123" t="s">
        <v>90</v>
      </c>
      <c r="CT13" s="123">
        <f t="shared" si="236"/>
        <v>0</v>
      </c>
      <c r="CU13" s="121">
        <v>1111.9739999999999</v>
      </c>
      <c r="CV13" s="121">
        <v>465.31999999999999</v>
      </c>
      <c r="CW13" s="388">
        <f t="shared" si="237"/>
        <v>-2</v>
      </c>
      <c r="CX13" s="147">
        <v>117.5</v>
      </c>
      <c r="CY13" s="107">
        <f t="shared" si="238"/>
        <v>6</v>
      </c>
      <c r="CZ13" s="386">
        <v>965960</v>
      </c>
      <c r="DA13" s="389">
        <v>1026900</v>
      </c>
      <c r="DB13" s="105">
        <f t="shared" si="239"/>
        <v>6</v>
      </c>
      <c r="DC13" s="105">
        <v>-2</v>
      </c>
      <c r="DD13" s="105" t="s">
        <v>89</v>
      </c>
      <c r="DE13" s="183">
        <f t="shared" si="240"/>
        <v>4</v>
      </c>
      <c r="DF13" s="157">
        <v>73.099999999999994</v>
      </c>
      <c r="DG13" s="183">
        <f t="shared" si="241"/>
        <v>4</v>
      </c>
      <c r="DH13" s="117" t="s">
        <v>57</v>
      </c>
      <c r="DI13" s="390">
        <f t="shared" si="242"/>
        <v>0</v>
      </c>
      <c r="DJ13" s="133" t="s">
        <v>89</v>
      </c>
      <c r="DK13" s="391">
        <f t="shared" si="243"/>
        <v>4</v>
      </c>
      <c r="DL13" s="133" t="s">
        <v>89</v>
      </c>
      <c r="DM13" s="392">
        <f t="shared" si="244"/>
        <v>4</v>
      </c>
      <c r="DN13" s="393" t="s">
        <v>90</v>
      </c>
      <c r="DO13" s="170">
        <f t="shared" si="245"/>
        <v>0</v>
      </c>
      <c r="DP13" s="392" t="s">
        <v>91</v>
      </c>
      <c r="DQ13" s="183">
        <f t="shared" si="246"/>
        <v>0</v>
      </c>
      <c r="DR13" s="149">
        <f>(53.5+52.9+48.3)/3</f>
        <v>51.566666666666663</v>
      </c>
      <c r="DS13" s="105">
        <f t="shared" si="247"/>
        <v>4</v>
      </c>
      <c r="DT13" s="149">
        <v>50</v>
      </c>
      <c r="DU13" s="105">
        <f t="shared" si="248"/>
        <v>4</v>
      </c>
      <c r="DV13" s="138">
        <v>33</v>
      </c>
      <c r="DW13" s="139">
        <f t="shared" si="249"/>
        <v>1</v>
      </c>
      <c r="DX13" s="150">
        <v>25</v>
      </c>
      <c r="DY13" s="141">
        <f t="shared" si="250"/>
        <v>1</v>
      </c>
      <c r="DZ13" s="142">
        <f t="shared" si="251"/>
        <v>111.5</v>
      </c>
      <c r="EA13" s="143">
        <f t="shared" si="252"/>
        <v>8</v>
      </c>
    </row>
    <row r="14">
      <c r="A14" s="104" t="s">
        <v>100</v>
      </c>
      <c r="B14" s="105" t="s">
        <v>89</v>
      </c>
      <c r="C14" s="105">
        <f t="shared" si="191"/>
        <v>4</v>
      </c>
      <c r="D14" s="105" t="s">
        <v>89</v>
      </c>
      <c r="E14" s="105">
        <f t="shared" si="192"/>
        <v>4</v>
      </c>
      <c r="F14" s="105" t="s">
        <v>90</v>
      </c>
      <c r="G14" s="105">
        <f t="shared" si="193"/>
        <v>0</v>
      </c>
      <c r="H14" s="105" t="s">
        <v>91</v>
      </c>
      <c r="I14" s="105">
        <f t="shared" si="194"/>
        <v>1</v>
      </c>
      <c r="J14" s="105" t="s">
        <v>90</v>
      </c>
      <c r="K14" s="105">
        <f t="shared" si="195"/>
        <v>0</v>
      </c>
      <c r="L14" s="105" t="s">
        <v>91</v>
      </c>
      <c r="M14" s="105">
        <f t="shared" si="196"/>
        <v>1</v>
      </c>
      <c r="N14" s="105" t="s">
        <v>89</v>
      </c>
      <c r="O14" s="105">
        <f t="shared" si="197"/>
        <v>4</v>
      </c>
      <c r="P14" s="105" t="s">
        <v>89</v>
      </c>
      <c r="Q14" s="105">
        <f t="shared" si="198"/>
        <v>0.5</v>
      </c>
      <c r="R14" s="105" t="s">
        <v>89</v>
      </c>
      <c r="S14" s="105">
        <f t="shared" si="199"/>
        <v>0.5</v>
      </c>
      <c r="T14" s="105" t="s">
        <v>89</v>
      </c>
      <c r="U14" s="105">
        <f t="shared" si="200"/>
        <v>0.5</v>
      </c>
      <c r="V14" s="105" t="s">
        <v>89</v>
      </c>
      <c r="W14" s="105">
        <f t="shared" si="201"/>
        <v>0.5</v>
      </c>
      <c r="X14" s="105" t="s">
        <v>89</v>
      </c>
      <c r="Y14" s="105">
        <f t="shared" si="202"/>
        <v>4</v>
      </c>
      <c r="Z14" s="105" t="s">
        <v>91</v>
      </c>
      <c r="AA14" s="105">
        <f t="shared" si="203"/>
        <v>0.5</v>
      </c>
      <c r="AB14" s="105" t="s">
        <v>89</v>
      </c>
      <c r="AC14" s="105">
        <f t="shared" si="204"/>
        <v>4</v>
      </c>
      <c r="AD14" s="105" t="s">
        <v>89</v>
      </c>
      <c r="AE14" s="105">
        <f t="shared" si="205"/>
        <v>4</v>
      </c>
      <c r="AF14" s="105">
        <v>10</v>
      </c>
      <c r="AG14" s="105">
        <f t="shared" si="206"/>
        <v>10</v>
      </c>
      <c r="AH14" s="105" t="s">
        <v>89</v>
      </c>
      <c r="AI14" s="105">
        <f t="shared" si="207"/>
        <v>4</v>
      </c>
      <c r="AJ14" s="105" t="s">
        <v>57</v>
      </c>
      <c r="AK14" s="105" t="s">
        <v>90</v>
      </c>
      <c r="AL14" s="108" t="s">
        <v>90</v>
      </c>
      <c r="AM14" s="377">
        <f t="shared" si="208"/>
        <v>4</v>
      </c>
      <c r="AN14" s="378">
        <v>83.5</v>
      </c>
      <c r="AO14" s="379">
        <f t="shared" si="209"/>
        <v>4</v>
      </c>
      <c r="AP14" s="380">
        <v>61.600000000000001</v>
      </c>
      <c r="AQ14" s="379">
        <f t="shared" si="210"/>
        <v>4</v>
      </c>
      <c r="AR14" s="378">
        <v>1.5</v>
      </c>
      <c r="AS14" s="379">
        <f t="shared" si="211"/>
        <v>0</v>
      </c>
      <c r="AT14" s="378">
        <v>2.6000000000000001</v>
      </c>
      <c r="AU14" s="381">
        <f t="shared" si="212"/>
        <v>0</v>
      </c>
      <c r="AV14" s="382">
        <v>6.4000000000000004</v>
      </c>
      <c r="AW14" s="105">
        <f t="shared" si="213"/>
        <v>2</v>
      </c>
      <c r="AX14" s="105" t="s">
        <v>89</v>
      </c>
      <c r="AY14" s="105">
        <f t="shared" si="214"/>
        <v>4</v>
      </c>
      <c r="AZ14" s="105" t="s">
        <v>89</v>
      </c>
      <c r="BA14" s="105">
        <f t="shared" si="215"/>
        <v>0.5</v>
      </c>
      <c r="BB14" s="105" t="s">
        <v>89</v>
      </c>
      <c r="BC14" s="105">
        <f t="shared" si="216"/>
        <v>0.5</v>
      </c>
      <c r="BD14" s="105" t="s">
        <v>89</v>
      </c>
      <c r="BE14" s="105">
        <f t="shared" si="217"/>
        <v>0.5</v>
      </c>
      <c r="BF14" s="105" t="s">
        <v>89</v>
      </c>
      <c r="BG14" s="105">
        <f t="shared" si="218"/>
        <v>0.5</v>
      </c>
      <c r="BH14" s="105" t="s">
        <v>89</v>
      </c>
      <c r="BI14" s="105">
        <f t="shared" si="219"/>
        <v>0.5</v>
      </c>
      <c r="BJ14" s="105" t="s">
        <v>89</v>
      </c>
      <c r="BK14" s="105">
        <f t="shared" si="220"/>
        <v>4</v>
      </c>
      <c r="BL14" s="105" t="s">
        <v>90</v>
      </c>
      <c r="BM14" s="105">
        <f t="shared" si="221"/>
        <v>0</v>
      </c>
      <c r="BN14" s="105" t="s">
        <v>90</v>
      </c>
      <c r="BO14" s="105">
        <f t="shared" si="222"/>
        <v>0</v>
      </c>
      <c r="BP14" s="105" t="s">
        <v>91</v>
      </c>
      <c r="BQ14" s="107">
        <f t="shared" si="223"/>
        <v>1.5</v>
      </c>
      <c r="BR14" s="378">
        <v>13756.6</v>
      </c>
      <c r="BS14" s="382">
        <v>20346.099999999999</v>
      </c>
      <c r="BT14" s="383">
        <f t="shared" si="224"/>
        <v>4</v>
      </c>
      <c r="BU14" s="117" t="s">
        <v>90</v>
      </c>
      <c r="BV14" s="117">
        <f t="shared" si="225"/>
        <v>0</v>
      </c>
      <c r="BW14" s="117" t="s">
        <v>91</v>
      </c>
      <c r="BX14" s="117">
        <f t="shared" si="226"/>
        <v>4</v>
      </c>
      <c r="BY14" s="117" t="s">
        <v>90</v>
      </c>
      <c r="BZ14" s="117">
        <f t="shared" si="227"/>
        <v>0</v>
      </c>
      <c r="CA14" s="117" t="s">
        <v>90</v>
      </c>
      <c r="CB14" s="117">
        <f t="shared" si="228"/>
        <v>0</v>
      </c>
      <c r="CC14" s="117" t="s">
        <v>90</v>
      </c>
      <c r="CD14" s="117">
        <f t="shared" si="229"/>
        <v>0</v>
      </c>
      <c r="CE14" s="117" t="s">
        <v>90</v>
      </c>
      <c r="CF14" s="117">
        <f t="shared" si="230"/>
        <v>0</v>
      </c>
      <c r="CG14" s="384">
        <v>277.13</v>
      </c>
      <c r="CH14" s="119">
        <v>271.99000000000001</v>
      </c>
      <c r="CI14" s="385">
        <f t="shared" si="231"/>
        <v>-2</v>
      </c>
      <c r="CJ14" s="386">
        <v>78724</v>
      </c>
      <c r="CK14" s="386">
        <v>81987.710000000006</v>
      </c>
      <c r="CL14" s="387">
        <f t="shared" si="232"/>
        <v>2</v>
      </c>
      <c r="CM14" s="123" t="s">
        <v>91</v>
      </c>
      <c r="CN14" s="123">
        <f t="shared" si="233"/>
        <v>6</v>
      </c>
      <c r="CO14" s="123" t="s">
        <v>90</v>
      </c>
      <c r="CP14" s="123">
        <f t="shared" si="234"/>
        <v>0</v>
      </c>
      <c r="CQ14" s="123" t="s">
        <v>90</v>
      </c>
      <c r="CR14" s="123">
        <f t="shared" si="235"/>
        <v>0</v>
      </c>
      <c r="CS14" s="123" t="s">
        <v>90</v>
      </c>
      <c r="CT14" s="123">
        <f t="shared" si="236"/>
        <v>0</v>
      </c>
      <c r="CU14" s="146">
        <v>1164.367</v>
      </c>
      <c r="CV14" s="121">
        <v>37.530000000000001</v>
      </c>
      <c r="CW14" s="388">
        <f t="shared" si="237"/>
        <v>-2</v>
      </c>
      <c r="CX14" s="126">
        <v>116</v>
      </c>
      <c r="CY14" s="107">
        <f t="shared" si="238"/>
        <v>6</v>
      </c>
      <c r="CZ14" s="386">
        <v>11745235</v>
      </c>
      <c r="DA14" s="389">
        <v>4554123</v>
      </c>
      <c r="DB14" s="105">
        <f t="shared" si="239"/>
        <v>0</v>
      </c>
      <c r="DC14" s="105">
        <v>0</v>
      </c>
      <c r="DD14" s="105" t="s">
        <v>89</v>
      </c>
      <c r="DE14" s="183">
        <f t="shared" si="240"/>
        <v>4</v>
      </c>
      <c r="DF14" s="157">
        <v>85.400000000000006</v>
      </c>
      <c r="DG14" s="183">
        <f t="shared" si="241"/>
        <v>4</v>
      </c>
      <c r="DH14" s="117" t="s">
        <v>57</v>
      </c>
      <c r="DI14" s="390">
        <f t="shared" si="242"/>
        <v>0</v>
      </c>
      <c r="DJ14" s="133" t="s">
        <v>89</v>
      </c>
      <c r="DK14" s="391">
        <f t="shared" si="243"/>
        <v>4</v>
      </c>
      <c r="DL14" s="133" t="s">
        <v>89</v>
      </c>
      <c r="DM14" s="392">
        <f t="shared" si="244"/>
        <v>4</v>
      </c>
      <c r="DN14" s="393" t="s">
        <v>90</v>
      </c>
      <c r="DO14" s="170">
        <f t="shared" si="245"/>
        <v>0</v>
      </c>
      <c r="DP14" s="392" t="s">
        <v>91</v>
      </c>
      <c r="DQ14" s="183">
        <f t="shared" si="246"/>
        <v>0</v>
      </c>
      <c r="DR14" s="149">
        <f>(60.7+62.9+62.9)/3</f>
        <v>62.166666666666664</v>
      </c>
      <c r="DS14" s="105">
        <f t="shared" si="247"/>
        <v>4</v>
      </c>
      <c r="DT14" s="149">
        <v>87.5</v>
      </c>
      <c r="DU14" s="105">
        <f t="shared" si="248"/>
        <v>4</v>
      </c>
      <c r="DV14" s="138">
        <v>12.5</v>
      </c>
      <c r="DW14" s="139">
        <f t="shared" si="249"/>
        <v>-2</v>
      </c>
      <c r="DX14" s="150">
        <v>37.5</v>
      </c>
      <c r="DY14" s="141">
        <f t="shared" si="250"/>
        <v>2</v>
      </c>
      <c r="DZ14" s="142">
        <f t="shared" si="251"/>
        <v>110.5</v>
      </c>
      <c r="EA14" s="143">
        <f t="shared" si="252"/>
        <v>10</v>
      </c>
    </row>
    <row r="15">
      <c r="A15" s="104" t="s">
        <v>101</v>
      </c>
      <c r="B15" s="105" t="s">
        <v>89</v>
      </c>
      <c r="C15" s="105">
        <f t="shared" si="191"/>
        <v>4</v>
      </c>
      <c r="D15" s="105" t="s">
        <v>89</v>
      </c>
      <c r="E15" s="105">
        <f t="shared" si="192"/>
        <v>4</v>
      </c>
      <c r="F15" s="105" t="s">
        <v>90</v>
      </c>
      <c r="G15" s="105">
        <f t="shared" si="193"/>
        <v>0</v>
      </c>
      <c r="H15" s="105" t="s">
        <v>91</v>
      </c>
      <c r="I15" s="105">
        <f t="shared" si="194"/>
        <v>1</v>
      </c>
      <c r="J15" s="105" t="s">
        <v>91</v>
      </c>
      <c r="K15" s="105">
        <f t="shared" si="195"/>
        <v>0.5</v>
      </c>
      <c r="L15" s="105" t="s">
        <v>90</v>
      </c>
      <c r="M15" s="105">
        <f t="shared" si="196"/>
        <v>0</v>
      </c>
      <c r="N15" s="105" t="s">
        <v>89</v>
      </c>
      <c r="O15" s="105">
        <f t="shared" si="197"/>
        <v>4</v>
      </c>
      <c r="P15" s="105" t="s">
        <v>89</v>
      </c>
      <c r="Q15" s="105">
        <f t="shared" si="198"/>
        <v>0.5</v>
      </c>
      <c r="R15" s="105" t="s">
        <v>89</v>
      </c>
      <c r="S15" s="105">
        <f t="shared" si="199"/>
        <v>0.5</v>
      </c>
      <c r="T15" s="105" t="s">
        <v>89</v>
      </c>
      <c r="U15" s="105">
        <f t="shared" si="200"/>
        <v>0.5</v>
      </c>
      <c r="V15" s="105" t="s">
        <v>89</v>
      </c>
      <c r="W15" s="105">
        <f t="shared" si="201"/>
        <v>0.5</v>
      </c>
      <c r="X15" s="105" t="s">
        <v>89</v>
      </c>
      <c r="Y15" s="105">
        <f t="shared" si="202"/>
        <v>4</v>
      </c>
      <c r="Z15" s="105" t="s">
        <v>91</v>
      </c>
      <c r="AA15" s="105">
        <f t="shared" si="203"/>
        <v>0.5</v>
      </c>
      <c r="AB15" s="105" t="s">
        <v>89</v>
      </c>
      <c r="AC15" s="105">
        <f t="shared" si="204"/>
        <v>4</v>
      </c>
      <c r="AD15" s="105" t="s">
        <v>89</v>
      </c>
      <c r="AE15" s="105">
        <f t="shared" si="205"/>
        <v>4</v>
      </c>
      <c r="AF15" s="105">
        <v>0</v>
      </c>
      <c r="AG15" s="105">
        <f t="shared" si="206"/>
        <v>0</v>
      </c>
      <c r="AH15" s="105" t="s">
        <v>89</v>
      </c>
      <c r="AI15" s="105">
        <f t="shared" si="207"/>
        <v>4</v>
      </c>
      <c r="AJ15" s="105" t="s">
        <v>57</v>
      </c>
      <c r="AK15" s="105" t="s">
        <v>90</v>
      </c>
      <c r="AL15" s="108" t="s">
        <v>90</v>
      </c>
      <c r="AM15" s="377">
        <f t="shared" si="208"/>
        <v>4</v>
      </c>
      <c r="AN15" s="394">
        <v>87.5</v>
      </c>
      <c r="AO15" s="379">
        <f t="shared" si="209"/>
        <v>4</v>
      </c>
      <c r="AP15" s="380">
        <v>77.900000000000006</v>
      </c>
      <c r="AQ15" s="379">
        <f t="shared" si="210"/>
        <v>4</v>
      </c>
      <c r="AR15" s="378">
        <v>2</v>
      </c>
      <c r="AS15" s="379">
        <f t="shared" si="211"/>
        <v>4</v>
      </c>
      <c r="AT15" s="378">
        <v>2.7999999999999998</v>
      </c>
      <c r="AU15" s="381">
        <f t="shared" si="212"/>
        <v>4</v>
      </c>
      <c r="AV15" s="382">
        <v>8.3000000000000007</v>
      </c>
      <c r="AW15" s="105">
        <f t="shared" si="213"/>
        <v>2</v>
      </c>
      <c r="AX15" s="105" t="s">
        <v>89</v>
      </c>
      <c r="AY15" s="105">
        <f t="shared" si="214"/>
        <v>4</v>
      </c>
      <c r="AZ15" s="105" t="s">
        <v>89</v>
      </c>
      <c r="BA15" s="105">
        <f t="shared" si="215"/>
        <v>0.5</v>
      </c>
      <c r="BB15" s="105" t="s">
        <v>89</v>
      </c>
      <c r="BC15" s="105">
        <f t="shared" si="216"/>
        <v>0.5</v>
      </c>
      <c r="BD15" s="105" t="s">
        <v>89</v>
      </c>
      <c r="BE15" s="105">
        <f t="shared" si="217"/>
        <v>0.5</v>
      </c>
      <c r="BF15" s="105" t="s">
        <v>89</v>
      </c>
      <c r="BG15" s="105">
        <f t="shared" si="218"/>
        <v>0.5</v>
      </c>
      <c r="BH15" s="105" t="s">
        <v>89</v>
      </c>
      <c r="BI15" s="105">
        <f t="shared" si="219"/>
        <v>0.5</v>
      </c>
      <c r="BJ15" s="105" t="s">
        <v>89</v>
      </c>
      <c r="BK15" s="105">
        <f t="shared" si="220"/>
        <v>4</v>
      </c>
      <c r="BL15" s="105" t="s">
        <v>90</v>
      </c>
      <c r="BM15" s="105">
        <f t="shared" si="221"/>
        <v>0</v>
      </c>
      <c r="BN15" s="105" t="s">
        <v>91</v>
      </c>
      <c r="BO15" s="105">
        <f t="shared" si="222"/>
        <v>1</v>
      </c>
      <c r="BP15" s="105" t="s">
        <v>90</v>
      </c>
      <c r="BQ15" s="107">
        <f t="shared" si="223"/>
        <v>0</v>
      </c>
      <c r="BR15" s="378">
        <v>1380.5999999999999</v>
      </c>
      <c r="BS15" s="382">
        <v>2129</v>
      </c>
      <c r="BT15" s="383">
        <f t="shared" si="224"/>
        <v>4</v>
      </c>
      <c r="BU15" s="117" t="s">
        <v>90</v>
      </c>
      <c r="BV15" s="117">
        <f t="shared" si="225"/>
        <v>0</v>
      </c>
      <c r="BW15" s="117" t="s">
        <v>90</v>
      </c>
      <c r="BX15" s="117">
        <f t="shared" si="226"/>
        <v>0</v>
      </c>
      <c r="BY15" s="117" t="s">
        <v>91</v>
      </c>
      <c r="BZ15" s="117">
        <f t="shared" si="227"/>
        <v>2</v>
      </c>
      <c r="CA15" s="117" t="s">
        <v>90</v>
      </c>
      <c r="CB15" s="117">
        <f t="shared" si="228"/>
        <v>0</v>
      </c>
      <c r="CC15" s="117" t="s">
        <v>90</v>
      </c>
      <c r="CD15" s="117">
        <f t="shared" si="229"/>
        <v>0</v>
      </c>
      <c r="CE15" s="117" t="s">
        <v>90</v>
      </c>
      <c r="CF15" s="117">
        <f t="shared" si="230"/>
        <v>0</v>
      </c>
      <c r="CG15" s="384">
        <v>277.13</v>
      </c>
      <c r="CH15" s="119">
        <v>231.91</v>
      </c>
      <c r="CI15" s="385">
        <f t="shared" si="231"/>
        <v>-2</v>
      </c>
      <c r="CJ15" s="386">
        <v>109637</v>
      </c>
      <c r="CK15" s="386">
        <v>85592.649999999994</v>
      </c>
      <c r="CL15" s="387">
        <f t="shared" si="232"/>
        <v>-2</v>
      </c>
      <c r="CM15" s="123" t="s">
        <v>90</v>
      </c>
      <c r="CN15" s="123">
        <f t="shared" si="233"/>
        <v>0</v>
      </c>
      <c r="CO15" s="123" t="s">
        <v>91</v>
      </c>
      <c r="CP15" s="123">
        <f t="shared" si="234"/>
        <v>4</v>
      </c>
      <c r="CQ15" s="123" t="s">
        <v>90</v>
      </c>
      <c r="CR15" s="123">
        <f t="shared" si="235"/>
        <v>0</v>
      </c>
      <c r="CS15" s="123" t="s">
        <v>90</v>
      </c>
      <c r="CT15" s="123">
        <f t="shared" si="236"/>
        <v>0</v>
      </c>
      <c r="CU15" s="121">
        <v>1656.2049999999999</v>
      </c>
      <c r="CV15" s="121">
        <v>811.37</v>
      </c>
      <c r="CW15" s="388">
        <f t="shared" si="237"/>
        <v>-2</v>
      </c>
      <c r="CX15" s="147">
        <v>117.90000000000001</v>
      </c>
      <c r="CY15" s="107">
        <f t="shared" si="238"/>
        <v>6</v>
      </c>
      <c r="CZ15" s="386">
        <v>405726</v>
      </c>
      <c r="DA15" s="389">
        <v>488795</v>
      </c>
      <c r="DB15" s="105">
        <f t="shared" si="239"/>
        <v>6</v>
      </c>
      <c r="DC15" s="105">
        <v>4</v>
      </c>
      <c r="DD15" s="105" t="s">
        <v>89</v>
      </c>
      <c r="DE15" s="183">
        <f t="shared" si="240"/>
        <v>4</v>
      </c>
      <c r="DF15" s="157">
        <v>77.700000000000003</v>
      </c>
      <c r="DG15" s="183">
        <f t="shared" si="241"/>
        <v>4</v>
      </c>
      <c r="DH15" s="117" t="s">
        <v>57</v>
      </c>
      <c r="DI15" s="390">
        <f t="shared" si="242"/>
        <v>0</v>
      </c>
      <c r="DJ15" s="133" t="s">
        <v>89</v>
      </c>
      <c r="DK15" s="391">
        <f t="shared" si="243"/>
        <v>4</v>
      </c>
      <c r="DL15" s="133" t="s">
        <v>89</v>
      </c>
      <c r="DM15" s="392">
        <f t="shared" si="244"/>
        <v>4</v>
      </c>
      <c r="DN15" s="393" t="s">
        <v>90</v>
      </c>
      <c r="DO15" s="170">
        <f t="shared" si="245"/>
        <v>0</v>
      </c>
      <c r="DP15" s="392" t="s">
        <v>91</v>
      </c>
      <c r="DQ15" s="183">
        <f t="shared" si="246"/>
        <v>0</v>
      </c>
      <c r="DR15" s="149">
        <f>(41.7+40.5+40.5)/3</f>
        <v>40.899999999999999</v>
      </c>
      <c r="DS15" s="105">
        <f t="shared" si="247"/>
        <v>2</v>
      </c>
      <c r="DT15" s="149">
        <v>33.299999999999997</v>
      </c>
      <c r="DU15" s="105">
        <f t="shared" si="248"/>
        <v>2</v>
      </c>
      <c r="DV15" s="138">
        <v>33.299999999999997</v>
      </c>
      <c r="DW15" s="139">
        <f t="shared" si="249"/>
        <v>1</v>
      </c>
      <c r="DX15" s="150">
        <v>33.299999999999997</v>
      </c>
      <c r="DY15" s="141">
        <f t="shared" si="250"/>
        <v>2</v>
      </c>
      <c r="DZ15" s="142">
        <f t="shared" si="251"/>
        <v>108.5</v>
      </c>
      <c r="EA15" s="143">
        <f t="shared" si="252"/>
        <v>11</v>
      </c>
    </row>
    <row r="16">
      <c r="A16" s="104" t="s">
        <v>103</v>
      </c>
      <c r="B16" s="105" t="s">
        <v>89</v>
      </c>
      <c r="C16" s="105">
        <f t="shared" si="191"/>
        <v>4</v>
      </c>
      <c r="D16" s="105" t="s">
        <v>89</v>
      </c>
      <c r="E16" s="105">
        <f t="shared" si="192"/>
        <v>4</v>
      </c>
      <c r="F16" s="105" t="s">
        <v>90</v>
      </c>
      <c r="G16" s="105">
        <f t="shared" si="193"/>
        <v>0</v>
      </c>
      <c r="H16" s="105" t="s">
        <v>91</v>
      </c>
      <c r="I16" s="105">
        <f t="shared" si="194"/>
        <v>1</v>
      </c>
      <c r="J16" s="105" t="s">
        <v>91</v>
      </c>
      <c r="K16" s="105">
        <f t="shared" si="195"/>
        <v>0.5</v>
      </c>
      <c r="L16" s="105" t="s">
        <v>90</v>
      </c>
      <c r="M16" s="105">
        <f t="shared" si="196"/>
        <v>0</v>
      </c>
      <c r="N16" s="105" t="s">
        <v>89</v>
      </c>
      <c r="O16" s="105">
        <f t="shared" si="197"/>
        <v>4</v>
      </c>
      <c r="P16" s="105" t="s">
        <v>89</v>
      </c>
      <c r="Q16" s="105">
        <f t="shared" si="198"/>
        <v>0.5</v>
      </c>
      <c r="R16" s="105" t="s">
        <v>57</v>
      </c>
      <c r="S16" s="105">
        <f t="shared" si="199"/>
        <v>0</v>
      </c>
      <c r="T16" s="105" t="s">
        <v>89</v>
      </c>
      <c r="U16" s="105">
        <f t="shared" si="200"/>
        <v>0.5</v>
      </c>
      <c r="V16" s="105" t="s">
        <v>89</v>
      </c>
      <c r="W16" s="105">
        <f t="shared" si="201"/>
        <v>0.5</v>
      </c>
      <c r="X16" s="105" t="s">
        <v>89</v>
      </c>
      <c r="Y16" s="105">
        <f t="shared" si="202"/>
        <v>4</v>
      </c>
      <c r="Z16" s="105" t="s">
        <v>91</v>
      </c>
      <c r="AA16" s="105">
        <f t="shared" si="203"/>
        <v>0.5</v>
      </c>
      <c r="AB16" s="105" t="s">
        <v>89</v>
      </c>
      <c r="AC16" s="105">
        <f t="shared" si="204"/>
        <v>4</v>
      </c>
      <c r="AD16" s="105" t="s">
        <v>89</v>
      </c>
      <c r="AE16" s="105">
        <f t="shared" si="205"/>
        <v>4</v>
      </c>
      <c r="AF16" s="105">
        <v>1</v>
      </c>
      <c r="AG16" s="105">
        <f t="shared" si="206"/>
        <v>1</v>
      </c>
      <c r="AH16" s="105" t="s">
        <v>89</v>
      </c>
      <c r="AI16" s="105">
        <f t="shared" si="207"/>
        <v>4</v>
      </c>
      <c r="AJ16" s="105" t="s">
        <v>57</v>
      </c>
      <c r="AK16" s="105" t="s">
        <v>90</v>
      </c>
      <c r="AL16" s="108" t="s">
        <v>90</v>
      </c>
      <c r="AM16" s="377">
        <f t="shared" si="208"/>
        <v>4</v>
      </c>
      <c r="AN16" s="378">
        <v>81.700000000000003</v>
      </c>
      <c r="AO16" s="379">
        <f t="shared" si="209"/>
        <v>4</v>
      </c>
      <c r="AP16" s="380">
        <v>58.700000000000003</v>
      </c>
      <c r="AQ16" s="379">
        <f t="shared" si="210"/>
        <v>4</v>
      </c>
      <c r="AR16" s="378">
        <v>2</v>
      </c>
      <c r="AS16" s="379">
        <f t="shared" si="211"/>
        <v>4</v>
      </c>
      <c r="AT16" s="378">
        <v>2</v>
      </c>
      <c r="AU16" s="381">
        <f t="shared" si="212"/>
        <v>0</v>
      </c>
      <c r="AV16" s="382">
        <v>13.5</v>
      </c>
      <c r="AW16" s="105">
        <f t="shared" si="213"/>
        <v>0</v>
      </c>
      <c r="AX16" s="105" t="s">
        <v>89</v>
      </c>
      <c r="AY16" s="105">
        <f t="shared" si="214"/>
        <v>4</v>
      </c>
      <c r="AZ16" s="105" t="s">
        <v>89</v>
      </c>
      <c r="BA16" s="105">
        <f t="shared" si="215"/>
        <v>0.5</v>
      </c>
      <c r="BB16" s="105" t="s">
        <v>89</v>
      </c>
      <c r="BC16" s="105">
        <f t="shared" si="216"/>
        <v>0.5</v>
      </c>
      <c r="BD16" s="105" t="s">
        <v>89</v>
      </c>
      <c r="BE16" s="105">
        <f t="shared" si="217"/>
        <v>0.5</v>
      </c>
      <c r="BF16" s="105" t="s">
        <v>89</v>
      </c>
      <c r="BG16" s="105">
        <f t="shared" si="218"/>
        <v>0.5</v>
      </c>
      <c r="BH16" s="105" t="s">
        <v>57</v>
      </c>
      <c r="BI16" s="105">
        <f t="shared" si="219"/>
        <v>0</v>
      </c>
      <c r="BJ16" s="105" t="s">
        <v>89</v>
      </c>
      <c r="BK16" s="105">
        <f t="shared" si="220"/>
        <v>4</v>
      </c>
      <c r="BL16" s="105" t="s">
        <v>90</v>
      </c>
      <c r="BM16" s="105">
        <f t="shared" si="221"/>
        <v>0</v>
      </c>
      <c r="BN16" s="105" t="s">
        <v>91</v>
      </c>
      <c r="BO16" s="105">
        <f t="shared" si="222"/>
        <v>1</v>
      </c>
      <c r="BP16" s="105" t="s">
        <v>90</v>
      </c>
      <c r="BQ16" s="107">
        <f t="shared" si="223"/>
        <v>0</v>
      </c>
      <c r="BR16" s="378">
        <v>2040</v>
      </c>
      <c r="BS16" s="382">
        <v>2327.5</v>
      </c>
      <c r="BT16" s="383">
        <f t="shared" si="224"/>
        <v>4</v>
      </c>
      <c r="BU16" s="117" t="s">
        <v>90</v>
      </c>
      <c r="BV16" s="117">
        <f t="shared" si="225"/>
        <v>0</v>
      </c>
      <c r="BW16" s="117" t="s">
        <v>90</v>
      </c>
      <c r="BX16" s="117">
        <f t="shared" si="226"/>
        <v>0</v>
      </c>
      <c r="BY16" s="117" t="s">
        <v>91</v>
      </c>
      <c r="BZ16" s="117">
        <f t="shared" si="227"/>
        <v>2</v>
      </c>
      <c r="CA16" s="117" t="s">
        <v>90</v>
      </c>
      <c r="CB16" s="117">
        <f t="shared" si="228"/>
        <v>0</v>
      </c>
      <c r="CC16" s="117" t="s">
        <v>90</v>
      </c>
      <c r="CD16" s="117">
        <f t="shared" si="229"/>
        <v>0</v>
      </c>
      <c r="CE16" s="117" t="s">
        <v>90</v>
      </c>
      <c r="CF16" s="117">
        <f t="shared" si="230"/>
        <v>0</v>
      </c>
      <c r="CG16" s="384">
        <v>277.13</v>
      </c>
      <c r="CH16" s="119">
        <v>321.19</v>
      </c>
      <c r="CI16" s="385">
        <f t="shared" si="231"/>
        <v>4</v>
      </c>
      <c r="CJ16" s="386">
        <v>242729</v>
      </c>
      <c r="CK16" s="386">
        <v>261259.81</v>
      </c>
      <c r="CL16" s="387">
        <f t="shared" si="232"/>
        <v>4</v>
      </c>
      <c r="CM16" s="123" t="s">
        <v>90</v>
      </c>
      <c r="CN16" s="123">
        <f t="shared" si="233"/>
        <v>0</v>
      </c>
      <c r="CO16" s="123" t="s">
        <v>90</v>
      </c>
      <c r="CP16" s="123">
        <f t="shared" si="234"/>
        <v>0</v>
      </c>
      <c r="CQ16" s="123" t="s">
        <v>91</v>
      </c>
      <c r="CR16" s="123">
        <f t="shared" si="235"/>
        <v>0</v>
      </c>
      <c r="CS16" s="123" t="s">
        <v>90</v>
      </c>
      <c r="CT16" s="123">
        <f t="shared" si="236"/>
        <v>0</v>
      </c>
      <c r="CU16" s="146">
        <v>944.09900000000005</v>
      </c>
      <c r="CV16" s="121">
        <v>926.61000000000001</v>
      </c>
      <c r="CW16" s="388">
        <f t="shared" si="237"/>
        <v>-2</v>
      </c>
      <c r="CX16" s="147">
        <v>119.2</v>
      </c>
      <c r="CY16" s="107">
        <f t="shared" si="238"/>
        <v>6</v>
      </c>
      <c r="CZ16" s="386">
        <v>605603</v>
      </c>
      <c r="DA16" s="389">
        <v>766439</v>
      </c>
      <c r="DB16" s="105">
        <f t="shared" si="239"/>
        <v>6</v>
      </c>
      <c r="DC16" s="105">
        <v>4</v>
      </c>
      <c r="DD16" s="105" t="s">
        <v>89</v>
      </c>
      <c r="DE16" s="183">
        <f t="shared" si="240"/>
        <v>4</v>
      </c>
      <c r="DF16" s="157">
        <v>66.5</v>
      </c>
      <c r="DG16" s="183">
        <f t="shared" si="241"/>
        <v>4</v>
      </c>
      <c r="DH16" s="117" t="s">
        <v>57</v>
      </c>
      <c r="DI16" s="390">
        <f t="shared" si="242"/>
        <v>0</v>
      </c>
      <c r="DJ16" s="133" t="s">
        <v>89</v>
      </c>
      <c r="DK16" s="391">
        <f t="shared" si="243"/>
        <v>4</v>
      </c>
      <c r="DL16" s="133" t="s">
        <v>89</v>
      </c>
      <c r="DM16" s="392">
        <f t="shared" si="244"/>
        <v>4</v>
      </c>
      <c r="DN16" s="393" t="s">
        <v>90</v>
      </c>
      <c r="DO16" s="170">
        <f t="shared" si="245"/>
        <v>0</v>
      </c>
      <c r="DP16" s="392" t="s">
        <v>91</v>
      </c>
      <c r="DQ16" s="183">
        <f t="shared" si="246"/>
        <v>0</v>
      </c>
      <c r="DR16" s="149">
        <f>(51.6+50+50)/3</f>
        <v>50.533333333333331</v>
      </c>
      <c r="DS16" s="105">
        <f t="shared" si="247"/>
        <v>4</v>
      </c>
      <c r="DT16" s="149">
        <v>50</v>
      </c>
      <c r="DU16" s="105">
        <f t="shared" si="248"/>
        <v>4</v>
      </c>
      <c r="DV16" s="138">
        <v>0</v>
      </c>
      <c r="DW16" s="139">
        <f t="shared" si="249"/>
        <v>-2</v>
      </c>
      <c r="DX16" s="150">
        <v>0</v>
      </c>
      <c r="DY16" s="141">
        <f t="shared" si="250"/>
        <v>-2</v>
      </c>
      <c r="DZ16" s="142">
        <f t="shared" si="251"/>
        <v>107.5</v>
      </c>
      <c r="EA16" s="143">
        <f t="shared" si="252"/>
        <v>12</v>
      </c>
    </row>
    <row r="17">
      <c r="A17" s="104" t="s">
        <v>104</v>
      </c>
      <c r="B17" s="105" t="s">
        <v>89</v>
      </c>
      <c r="C17" s="105">
        <f t="shared" si="191"/>
        <v>4</v>
      </c>
      <c r="D17" s="105" t="s">
        <v>89</v>
      </c>
      <c r="E17" s="105">
        <f t="shared" si="192"/>
        <v>4</v>
      </c>
      <c r="F17" s="105" t="s">
        <v>90</v>
      </c>
      <c r="G17" s="105">
        <f t="shared" si="193"/>
        <v>0</v>
      </c>
      <c r="H17" s="105" t="s">
        <v>91</v>
      </c>
      <c r="I17" s="105">
        <f t="shared" si="194"/>
        <v>1</v>
      </c>
      <c r="J17" s="105" t="s">
        <v>91</v>
      </c>
      <c r="K17" s="105">
        <f t="shared" si="195"/>
        <v>0.5</v>
      </c>
      <c r="L17" s="105" t="s">
        <v>90</v>
      </c>
      <c r="M17" s="105">
        <f t="shared" si="196"/>
        <v>0</v>
      </c>
      <c r="N17" s="105" t="s">
        <v>89</v>
      </c>
      <c r="O17" s="105">
        <f t="shared" si="197"/>
        <v>4</v>
      </c>
      <c r="P17" s="105" t="s">
        <v>89</v>
      </c>
      <c r="Q17" s="105">
        <f t="shared" si="198"/>
        <v>0.5</v>
      </c>
      <c r="R17" s="105" t="s">
        <v>89</v>
      </c>
      <c r="S17" s="105">
        <f t="shared" si="199"/>
        <v>0.5</v>
      </c>
      <c r="T17" s="105" t="s">
        <v>89</v>
      </c>
      <c r="U17" s="105">
        <f t="shared" si="200"/>
        <v>0.5</v>
      </c>
      <c r="V17" s="105" t="s">
        <v>89</v>
      </c>
      <c r="W17" s="105">
        <f t="shared" si="201"/>
        <v>0.5</v>
      </c>
      <c r="X17" s="105" t="s">
        <v>89</v>
      </c>
      <c r="Y17" s="105">
        <f t="shared" si="202"/>
        <v>4</v>
      </c>
      <c r="Z17" s="105" t="s">
        <v>91</v>
      </c>
      <c r="AA17" s="105">
        <f t="shared" si="203"/>
        <v>0.5</v>
      </c>
      <c r="AB17" s="105" t="s">
        <v>57</v>
      </c>
      <c r="AC17" s="105">
        <f t="shared" si="204"/>
        <v>0</v>
      </c>
      <c r="AD17" s="105" t="s">
        <v>89</v>
      </c>
      <c r="AE17" s="105">
        <f t="shared" si="205"/>
        <v>4</v>
      </c>
      <c r="AF17" s="105">
        <v>3</v>
      </c>
      <c r="AG17" s="105">
        <f t="shared" si="206"/>
        <v>3</v>
      </c>
      <c r="AH17" s="105" t="s">
        <v>89</v>
      </c>
      <c r="AI17" s="105">
        <f t="shared" si="207"/>
        <v>4</v>
      </c>
      <c r="AJ17" s="105" t="s">
        <v>57</v>
      </c>
      <c r="AK17" s="105" t="s">
        <v>90</v>
      </c>
      <c r="AL17" s="108" t="s">
        <v>90</v>
      </c>
      <c r="AM17" s="377">
        <f t="shared" si="208"/>
        <v>4</v>
      </c>
      <c r="AN17" s="378">
        <v>91.700000000000003</v>
      </c>
      <c r="AO17" s="379">
        <f t="shared" si="209"/>
        <v>4</v>
      </c>
      <c r="AP17" s="380">
        <v>55.399999999999999</v>
      </c>
      <c r="AQ17" s="379">
        <f t="shared" si="210"/>
        <v>4</v>
      </c>
      <c r="AR17" s="378">
        <v>1.3</v>
      </c>
      <c r="AS17" s="379">
        <f t="shared" si="211"/>
        <v>0</v>
      </c>
      <c r="AT17" s="378">
        <v>1.8</v>
      </c>
      <c r="AU17" s="381">
        <f t="shared" si="212"/>
        <v>0</v>
      </c>
      <c r="AV17" s="382">
        <v>13</v>
      </c>
      <c r="AW17" s="105">
        <f t="shared" si="213"/>
        <v>0</v>
      </c>
      <c r="AX17" s="105" t="s">
        <v>89</v>
      </c>
      <c r="AY17" s="105">
        <f t="shared" si="214"/>
        <v>4</v>
      </c>
      <c r="AZ17" s="105" t="s">
        <v>89</v>
      </c>
      <c r="BA17" s="105">
        <f t="shared" si="215"/>
        <v>0.5</v>
      </c>
      <c r="BB17" s="105" t="s">
        <v>89</v>
      </c>
      <c r="BC17" s="105">
        <f t="shared" si="216"/>
        <v>0.5</v>
      </c>
      <c r="BD17" s="105" t="s">
        <v>89</v>
      </c>
      <c r="BE17" s="105">
        <f t="shared" si="217"/>
        <v>0.5</v>
      </c>
      <c r="BF17" s="105" t="s">
        <v>89</v>
      </c>
      <c r="BG17" s="105">
        <f t="shared" si="218"/>
        <v>0.5</v>
      </c>
      <c r="BH17" s="105" t="s">
        <v>89</v>
      </c>
      <c r="BI17" s="105">
        <f t="shared" si="219"/>
        <v>0.5</v>
      </c>
      <c r="BJ17" s="105" t="s">
        <v>89</v>
      </c>
      <c r="BK17" s="105">
        <f t="shared" si="220"/>
        <v>4</v>
      </c>
      <c r="BL17" s="105" t="s">
        <v>91</v>
      </c>
      <c r="BM17" s="105">
        <f t="shared" si="221"/>
        <v>0.5</v>
      </c>
      <c r="BN17" s="105" t="s">
        <v>90</v>
      </c>
      <c r="BO17" s="105">
        <f t="shared" si="222"/>
        <v>0</v>
      </c>
      <c r="BP17" s="105" t="s">
        <v>90</v>
      </c>
      <c r="BQ17" s="107">
        <f t="shared" si="223"/>
        <v>0</v>
      </c>
      <c r="BR17" s="378">
        <v>592</v>
      </c>
      <c r="BS17" s="382">
        <v>539</v>
      </c>
      <c r="BT17" s="383">
        <f t="shared" si="224"/>
        <v>-2</v>
      </c>
      <c r="BU17" s="117" t="s">
        <v>90</v>
      </c>
      <c r="BV17" s="117">
        <f t="shared" si="225"/>
        <v>0</v>
      </c>
      <c r="BW17" s="117" t="s">
        <v>90</v>
      </c>
      <c r="BX17" s="117">
        <f t="shared" si="226"/>
        <v>0</v>
      </c>
      <c r="BY17" s="117" t="s">
        <v>91</v>
      </c>
      <c r="BZ17" s="117">
        <f t="shared" si="227"/>
        <v>2</v>
      </c>
      <c r="CA17" s="117" t="s">
        <v>90</v>
      </c>
      <c r="CB17" s="117">
        <f t="shared" si="228"/>
        <v>0</v>
      </c>
      <c r="CC17" s="117" t="s">
        <v>90</v>
      </c>
      <c r="CD17" s="117">
        <f t="shared" si="229"/>
        <v>0</v>
      </c>
      <c r="CE17" s="117" t="s">
        <v>90</v>
      </c>
      <c r="CF17" s="117">
        <f t="shared" si="230"/>
        <v>0</v>
      </c>
      <c r="CG17" s="384">
        <v>277.13</v>
      </c>
      <c r="CH17" s="119">
        <v>231.21000000000001</v>
      </c>
      <c r="CI17" s="385">
        <f t="shared" si="231"/>
        <v>-2</v>
      </c>
      <c r="CJ17" s="386">
        <v>95491</v>
      </c>
      <c r="CK17" s="386">
        <v>98659.339999999997</v>
      </c>
      <c r="CL17" s="387">
        <f t="shared" si="232"/>
        <v>2</v>
      </c>
      <c r="CM17" s="123" t="s">
        <v>91</v>
      </c>
      <c r="CN17" s="123">
        <f t="shared" si="233"/>
        <v>6</v>
      </c>
      <c r="CO17" s="123" t="s">
        <v>90</v>
      </c>
      <c r="CP17" s="123">
        <f t="shared" si="234"/>
        <v>0</v>
      </c>
      <c r="CQ17" s="123" t="s">
        <v>90</v>
      </c>
      <c r="CR17" s="123">
        <f t="shared" si="235"/>
        <v>0</v>
      </c>
      <c r="CS17" s="123" t="s">
        <v>90</v>
      </c>
      <c r="CT17" s="123">
        <f t="shared" si="236"/>
        <v>0</v>
      </c>
      <c r="CU17" s="146">
        <v>155.739</v>
      </c>
      <c r="CV17" s="121">
        <v>598.00999999999999</v>
      </c>
      <c r="CW17" s="388">
        <f t="shared" si="237"/>
        <v>6</v>
      </c>
      <c r="CX17" s="147">
        <v>122.09999999999999</v>
      </c>
      <c r="CY17" s="107">
        <f t="shared" si="238"/>
        <v>6</v>
      </c>
      <c r="CZ17" s="386">
        <v>310812</v>
      </c>
      <c r="DA17" s="389">
        <v>374505</v>
      </c>
      <c r="DB17" s="105">
        <f t="shared" si="239"/>
        <v>6</v>
      </c>
      <c r="DC17" s="105">
        <v>4</v>
      </c>
      <c r="DD17" s="105" t="s">
        <v>89</v>
      </c>
      <c r="DE17" s="183">
        <f t="shared" si="240"/>
        <v>4</v>
      </c>
      <c r="DF17" s="157">
        <v>73.400000000000006</v>
      </c>
      <c r="DG17" s="183">
        <f t="shared" si="241"/>
        <v>4</v>
      </c>
      <c r="DH17" s="117" t="s">
        <v>57</v>
      </c>
      <c r="DI17" s="390">
        <f t="shared" si="242"/>
        <v>0</v>
      </c>
      <c r="DJ17" s="133" t="s">
        <v>89</v>
      </c>
      <c r="DK17" s="391">
        <f t="shared" si="243"/>
        <v>4</v>
      </c>
      <c r="DL17" s="133" t="s">
        <v>89</v>
      </c>
      <c r="DM17" s="392">
        <f t="shared" si="244"/>
        <v>4</v>
      </c>
      <c r="DN17" s="393" t="s">
        <v>90</v>
      </c>
      <c r="DO17" s="170">
        <f t="shared" si="245"/>
        <v>0</v>
      </c>
      <c r="DP17" s="392" t="s">
        <v>91</v>
      </c>
      <c r="DQ17" s="183">
        <f t="shared" si="246"/>
        <v>0</v>
      </c>
      <c r="DR17" s="149">
        <f>(43+41.3+36.3)/3</f>
        <v>40.199999999999996</v>
      </c>
      <c r="DS17" s="105">
        <f t="shared" si="247"/>
        <v>2</v>
      </c>
      <c r="DT17" s="149">
        <v>66.700000000000003</v>
      </c>
      <c r="DU17" s="105">
        <f t="shared" si="248"/>
        <v>4</v>
      </c>
      <c r="DV17" s="138">
        <v>33.299999999999997</v>
      </c>
      <c r="DW17" s="139">
        <f t="shared" si="249"/>
        <v>1</v>
      </c>
      <c r="DX17" s="150">
        <v>33.299999999999997</v>
      </c>
      <c r="DY17" s="141">
        <f t="shared" si="250"/>
        <v>2</v>
      </c>
      <c r="DZ17" s="142">
        <f t="shared" si="251"/>
        <v>107</v>
      </c>
      <c r="EA17" s="143">
        <f t="shared" si="252"/>
        <v>13</v>
      </c>
    </row>
    <row r="18">
      <c r="A18" s="104" t="s">
        <v>102</v>
      </c>
      <c r="B18" s="105" t="s">
        <v>89</v>
      </c>
      <c r="C18" s="105">
        <f t="shared" si="191"/>
        <v>4</v>
      </c>
      <c r="D18" s="105" t="s">
        <v>89</v>
      </c>
      <c r="E18" s="105">
        <f t="shared" si="192"/>
        <v>4</v>
      </c>
      <c r="F18" s="105" t="s">
        <v>91</v>
      </c>
      <c r="G18" s="105">
        <f t="shared" si="193"/>
        <v>0.5</v>
      </c>
      <c r="H18" s="105" t="s">
        <v>90</v>
      </c>
      <c r="I18" s="105">
        <f t="shared" si="194"/>
        <v>0</v>
      </c>
      <c r="J18" s="105" t="s">
        <v>91</v>
      </c>
      <c r="K18" s="105">
        <f t="shared" si="195"/>
        <v>0.5</v>
      </c>
      <c r="L18" s="105" t="s">
        <v>90</v>
      </c>
      <c r="M18" s="105">
        <f t="shared" si="196"/>
        <v>0</v>
      </c>
      <c r="N18" s="105" t="s">
        <v>89</v>
      </c>
      <c r="O18" s="105">
        <f t="shared" si="197"/>
        <v>4</v>
      </c>
      <c r="P18" s="105" t="s">
        <v>89</v>
      </c>
      <c r="Q18" s="105">
        <f t="shared" si="198"/>
        <v>0.5</v>
      </c>
      <c r="R18" s="105" t="s">
        <v>89</v>
      </c>
      <c r="S18" s="105">
        <f t="shared" si="199"/>
        <v>0.5</v>
      </c>
      <c r="T18" s="105" t="s">
        <v>89</v>
      </c>
      <c r="U18" s="105">
        <f t="shared" si="200"/>
        <v>0.5</v>
      </c>
      <c r="V18" s="105" t="s">
        <v>89</v>
      </c>
      <c r="W18" s="105">
        <f t="shared" si="201"/>
        <v>0.5</v>
      </c>
      <c r="X18" s="105" t="s">
        <v>89</v>
      </c>
      <c r="Y18" s="105">
        <f t="shared" si="202"/>
        <v>4</v>
      </c>
      <c r="Z18" s="105" t="s">
        <v>91</v>
      </c>
      <c r="AA18" s="105">
        <f t="shared" si="203"/>
        <v>0.5</v>
      </c>
      <c r="AB18" s="105" t="s">
        <v>89</v>
      </c>
      <c r="AC18" s="105">
        <f t="shared" si="204"/>
        <v>4</v>
      </c>
      <c r="AD18" s="105" t="s">
        <v>89</v>
      </c>
      <c r="AE18" s="105">
        <f t="shared" si="205"/>
        <v>4</v>
      </c>
      <c r="AF18" s="105">
        <v>1</v>
      </c>
      <c r="AG18" s="105">
        <f t="shared" si="206"/>
        <v>1</v>
      </c>
      <c r="AH18" s="105" t="s">
        <v>89</v>
      </c>
      <c r="AI18" s="105">
        <f t="shared" si="207"/>
        <v>4</v>
      </c>
      <c r="AJ18" s="105" t="s">
        <v>90</v>
      </c>
      <c r="AK18" s="105" t="s">
        <v>89</v>
      </c>
      <c r="AL18" s="108" t="s">
        <v>90</v>
      </c>
      <c r="AM18" s="377">
        <f t="shared" si="208"/>
        <v>0</v>
      </c>
      <c r="AN18" s="394">
        <v>82.299999999999997</v>
      </c>
      <c r="AO18" s="379">
        <f t="shared" si="209"/>
        <v>4</v>
      </c>
      <c r="AP18" s="265">
        <v>74.299999999999997</v>
      </c>
      <c r="AQ18" s="379">
        <f t="shared" si="210"/>
        <v>4</v>
      </c>
      <c r="AR18" s="378">
        <v>1</v>
      </c>
      <c r="AS18" s="379">
        <f t="shared" si="211"/>
        <v>0</v>
      </c>
      <c r="AT18" s="394">
        <v>1.7</v>
      </c>
      <c r="AU18" s="381">
        <f t="shared" si="212"/>
        <v>0</v>
      </c>
      <c r="AV18" s="382">
        <v>2.7000000000000002</v>
      </c>
      <c r="AW18" s="105">
        <f t="shared" si="213"/>
        <v>2</v>
      </c>
      <c r="AX18" s="105" t="s">
        <v>89</v>
      </c>
      <c r="AY18" s="105">
        <f t="shared" si="214"/>
        <v>4</v>
      </c>
      <c r="AZ18" s="105" t="s">
        <v>89</v>
      </c>
      <c r="BA18" s="105">
        <f t="shared" si="215"/>
        <v>0.5</v>
      </c>
      <c r="BB18" s="105" t="s">
        <v>89</v>
      </c>
      <c r="BC18" s="105">
        <f t="shared" si="216"/>
        <v>0.5</v>
      </c>
      <c r="BD18" s="105" t="s">
        <v>89</v>
      </c>
      <c r="BE18" s="105">
        <f t="shared" si="217"/>
        <v>0.5</v>
      </c>
      <c r="BF18" s="105" t="s">
        <v>89</v>
      </c>
      <c r="BG18" s="105">
        <f t="shared" si="218"/>
        <v>0.5</v>
      </c>
      <c r="BH18" s="105" t="s">
        <v>89</v>
      </c>
      <c r="BI18" s="105">
        <f t="shared" si="219"/>
        <v>0.5</v>
      </c>
      <c r="BJ18" s="105" t="s">
        <v>89</v>
      </c>
      <c r="BK18" s="105">
        <f t="shared" si="220"/>
        <v>4</v>
      </c>
      <c r="BL18" s="105" t="s">
        <v>90</v>
      </c>
      <c r="BM18" s="105">
        <f t="shared" si="221"/>
        <v>0</v>
      </c>
      <c r="BN18" s="105" t="s">
        <v>91</v>
      </c>
      <c r="BO18" s="105">
        <f t="shared" si="222"/>
        <v>1</v>
      </c>
      <c r="BP18" s="105" t="s">
        <v>90</v>
      </c>
      <c r="BQ18" s="107">
        <f t="shared" si="223"/>
        <v>0</v>
      </c>
      <c r="BR18" s="378">
        <v>4601.0999999999995</v>
      </c>
      <c r="BS18" s="382">
        <v>4850</v>
      </c>
      <c r="BT18" s="383">
        <f t="shared" si="224"/>
        <v>4</v>
      </c>
      <c r="BU18" s="178" t="s">
        <v>90</v>
      </c>
      <c r="BV18" s="178">
        <f t="shared" si="225"/>
        <v>0</v>
      </c>
      <c r="BW18" s="178" t="s">
        <v>90</v>
      </c>
      <c r="BX18" s="178">
        <f t="shared" si="226"/>
        <v>0</v>
      </c>
      <c r="BY18" s="178" t="s">
        <v>91</v>
      </c>
      <c r="BZ18" s="178">
        <f t="shared" si="227"/>
        <v>2</v>
      </c>
      <c r="CA18" s="178" t="s">
        <v>90</v>
      </c>
      <c r="CB18" s="178">
        <f t="shared" si="228"/>
        <v>0</v>
      </c>
      <c r="CC18" s="178" t="s">
        <v>91</v>
      </c>
      <c r="CD18" s="178">
        <f t="shared" si="229"/>
        <v>0.5</v>
      </c>
      <c r="CE18" s="178" t="s">
        <v>90</v>
      </c>
      <c r="CF18" s="178">
        <f t="shared" si="230"/>
        <v>0</v>
      </c>
      <c r="CG18" s="395">
        <v>277.13</v>
      </c>
      <c r="CH18" s="256">
        <v>892</v>
      </c>
      <c r="CI18" s="385">
        <f t="shared" si="231"/>
        <v>4</v>
      </c>
      <c r="CJ18" s="396">
        <v>156514</v>
      </c>
      <c r="CK18" s="396">
        <v>250800</v>
      </c>
      <c r="CL18" s="387">
        <f t="shared" si="232"/>
        <v>4</v>
      </c>
      <c r="CM18" s="123" t="s">
        <v>90</v>
      </c>
      <c r="CN18" s="123">
        <f t="shared" si="233"/>
        <v>0</v>
      </c>
      <c r="CO18" s="123" t="s">
        <v>90</v>
      </c>
      <c r="CP18" s="123">
        <f t="shared" si="234"/>
        <v>0</v>
      </c>
      <c r="CQ18" s="123" t="s">
        <v>90</v>
      </c>
      <c r="CR18" s="123">
        <f t="shared" si="235"/>
        <v>0</v>
      </c>
      <c r="CS18" s="123" t="s">
        <v>91</v>
      </c>
      <c r="CT18" s="123">
        <f t="shared" si="236"/>
        <v>-2</v>
      </c>
      <c r="CU18" s="182">
        <v>2177.5030000000002</v>
      </c>
      <c r="CV18" s="181">
        <v>971.17999999999995</v>
      </c>
      <c r="CW18" s="388">
        <f t="shared" si="237"/>
        <v>-2</v>
      </c>
      <c r="CX18" s="183">
        <v>126.3</v>
      </c>
      <c r="CY18" s="107">
        <f t="shared" si="238"/>
        <v>6</v>
      </c>
      <c r="CZ18" s="386">
        <v>720874</v>
      </c>
      <c r="DA18" s="389">
        <v>1008326</v>
      </c>
      <c r="DB18" s="105">
        <f t="shared" si="239"/>
        <v>6</v>
      </c>
      <c r="DC18" s="105">
        <v>4</v>
      </c>
      <c r="DD18" s="105" t="s">
        <v>89</v>
      </c>
      <c r="DE18" s="183">
        <f t="shared" si="240"/>
        <v>4</v>
      </c>
      <c r="DF18" s="157">
        <v>85.5</v>
      </c>
      <c r="DG18" s="183">
        <f t="shared" si="241"/>
        <v>4</v>
      </c>
      <c r="DH18" s="178" t="s">
        <v>57</v>
      </c>
      <c r="DI18" s="390">
        <f t="shared" si="242"/>
        <v>0</v>
      </c>
      <c r="DJ18" s="139" t="s">
        <v>89</v>
      </c>
      <c r="DK18" s="391">
        <f t="shared" si="243"/>
        <v>4</v>
      </c>
      <c r="DL18" s="139" t="s">
        <v>89</v>
      </c>
      <c r="DM18" s="392">
        <f t="shared" si="244"/>
        <v>4</v>
      </c>
      <c r="DN18" s="393" t="s">
        <v>90</v>
      </c>
      <c r="DO18" s="170">
        <f t="shared" si="245"/>
        <v>0</v>
      </c>
      <c r="DP18" s="392" t="s">
        <v>91</v>
      </c>
      <c r="DQ18" s="183">
        <f t="shared" si="246"/>
        <v>0</v>
      </c>
      <c r="DR18" s="149">
        <f>(58.9+59.6+61.4)/3</f>
        <v>59.966666666666669</v>
      </c>
      <c r="DS18" s="105">
        <f t="shared" si="247"/>
        <v>4</v>
      </c>
      <c r="DT18" s="149">
        <v>100</v>
      </c>
      <c r="DU18" s="105">
        <f t="shared" si="248"/>
        <v>4</v>
      </c>
      <c r="DV18" s="138">
        <v>0</v>
      </c>
      <c r="DW18" s="139">
        <f t="shared" si="249"/>
        <v>-2</v>
      </c>
      <c r="DX18" s="150">
        <v>50</v>
      </c>
      <c r="DY18" s="141">
        <f t="shared" si="250"/>
        <v>4</v>
      </c>
      <c r="DZ18" s="142">
        <f t="shared" si="251"/>
        <v>106.5</v>
      </c>
      <c r="EA18" s="143">
        <f t="shared" si="252"/>
        <v>14</v>
      </c>
    </row>
    <row r="19">
      <c r="A19" s="104" t="s">
        <v>105</v>
      </c>
      <c r="B19" s="105" t="s">
        <v>89</v>
      </c>
      <c r="C19" s="105">
        <f t="shared" si="191"/>
        <v>4</v>
      </c>
      <c r="D19" s="105" t="s">
        <v>89</v>
      </c>
      <c r="E19" s="105">
        <f t="shared" si="192"/>
        <v>4</v>
      </c>
      <c r="F19" s="105" t="s">
        <v>91</v>
      </c>
      <c r="G19" s="105">
        <f t="shared" si="193"/>
        <v>0.5</v>
      </c>
      <c r="H19" s="105" t="s">
        <v>90</v>
      </c>
      <c r="I19" s="105">
        <f t="shared" si="194"/>
        <v>0</v>
      </c>
      <c r="J19" s="105" t="s">
        <v>91</v>
      </c>
      <c r="K19" s="105">
        <f t="shared" si="195"/>
        <v>0.5</v>
      </c>
      <c r="L19" s="105" t="s">
        <v>90</v>
      </c>
      <c r="M19" s="105">
        <f t="shared" si="196"/>
        <v>0</v>
      </c>
      <c r="N19" s="105" t="s">
        <v>89</v>
      </c>
      <c r="O19" s="105">
        <f t="shared" si="197"/>
        <v>4</v>
      </c>
      <c r="P19" s="105" t="s">
        <v>89</v>
      </c>
      <c r="Q19" s="105">
        <f t="shared" si="198"/>
        <v>0.5</v>
      </c>
      <c r="R19" s="105" t="s">
        <v>89</v>
      </c>
      <c r="S19" s="105">
        <f t="shared" si="199"/>
        <v>0.5</v>
      </c>
      <c r="T19" s="105" t="s">
        <v>89</v>
      </c>
      <c r="U19" s="105">
        <f t="shared" si="200"/>
        <v>0.5</v>
      </c>
      <c r="V19" s="105" t="s">
        <v>89</v>
      </c>
      <c r="W19" s="105">
        <f t="shared" si="201"/>
        <v>0.5</v>
      </c>
      <c r="X19" s="105" t="s">
        <v>89</v>
      </c>
      <c r="Y19" s="105">
        <f t="shared" si="202"/>
        <v>4</v>
      </c>
      <c r="Z19" s="105" t="s">
        <v>91</v>
      </c>
      <c r="AA19" s="105">
        <f t="shared" si="203"/>
        <v>0.5</v>
      </c>
      <c r="AB19" s="105" t="s">
        <v>89</v>
      </c>
      <c r="AC19" s="105">
        <f t="shared" si="204"/>
        <v>4</v>
      </c>
      <c r="AD19" s="105" t="s">
        <v>89</v>
      </c>
      <c r="AE19" s="105">
        <f t="shared" si="205"/>
        <v>4</v>
      </c>
      <c r="AF19" s="105">
        <v>6</v>
      </c>
      <c r="AG19" s="105">
        <f t="shared" si="206"/>
        <v>6</v>
      </c>
      <c r="AH19" s="105" t="s">
        <v>89</v>
      </c>
      <c r="AI19" s="105">
        <f t="shared" si="207"/>
        <v>4</v>
      </c>
      <c r="AJ19" s="105" t="s">
        <v>57</v>
      </c>
      <c r="AK19" s="105" t="s">
        <v>90</v>
      </c>
      <c r="AL19" s="108" t="s">
        <v>90</v>
      </c>
      <c r="AM19" s="377">
        <f t="shared" si="208"/>
        <v>4</v>
      </c>
      <c r="AN19" s="378">
        <v>94.799999999999997</v>
      </c>
      <c r="AO19" s="379">
        <f t="shared" si="209"/>
        <v>4</v>
      </c>
      <c r="AP19" s="380">
        <v>50.799999999999997</v>
      </c>
      <c r="AQ19" s="379">
        <f t="shared" si="210"/>
        <v>4</v>
      </c>
      <c r="AR19" s="378">
        <v>1.6000000000000001</v>
      </c>
      <c r="AS19" s="379">
        <f t="shared" si="211"/>
        <v>0</v>
      </c>
      <c r="AT19" s="378">
        <v>1.7</v>
      </c>
      <c r="AU19" s="381">
        <f t="shared" si="212"/>
        <v>0</v>
      </c>
      <c r="AV19" s="382">
        <v>16.100000000000001</v>
      </c>
      <c r="AW19" s="105">
        <f t="shared" si="213"/>
        <v>0</v>
      </c>
      <c r="AX19" s="105" t="s">
        <v>89</v>
      </c>
      <c r="AY19" s="105">
        <f t="shared" si="214"/>
        <v>4</v>
      </c>
      <c r="AZ19" s="105" t="s">
        <v>89</v>
      </c>
      <c r="BA19" s="105">
        <f t="shared" si="215"/>
        <v>0.5</v>
      </c>
      <c r="BB19" s="105" t="s">
        <v>89</v>
      </c>
      <c r="BC19" s="105">
        <f t="shared" si="216"/>
        <v>0.5</v>
      </c>
      <c r="BD19" s="105" t="s">
        <v>89</v>
      </c>
      <c r="BE19" s="105">
        <f t="shared" si="217"/>
        <v>0.5</v>
      </c>
      <c r="BF19" s="105" t="s">
        <v>89</v>
      </c>
      <c r="BG19" s="105">
        <f t="shared" si="218"/>
        <v>0.5</v>
      </c>
      <c r="BH19" s="105" t="s">
        <v>89</v>
      </c>
      <c r="BI19" s="105">
        <f t="shared" si="219"/>
        <v>0.5</v>
      </c>
      <c r="BJ19" s="105" t="s">
        <v>89</v>
      </c>
      <c r="BK19" s="105">
        <f t="shared" si="220"/>
        <v>4</v>
      </c>
      <c r="BL19" s="105" t="s">
        <v>91</v>
      </c>
      <c r="BM19" s="105">
        <f t="shared" si="221"/>
        <v>0.5</v>
      </c>
      <c r="BN19" s="105" t="s">
        <v>90</v>
      </c>
      <c r="BO19" s="105">
        <f t="shared" si="222"/>
        <v>0</v>
      </c>
      <c r="BP19" s="105" t="s">
        <v>90</v>
      </c>
      <c r="BQ19" s="107">
        <f t="shared" si="223"/>
        <v>0</v>
      </c>
      <c r="BR19" s="378">
        <v>603.77999999999997</v>
      </c>
      <c r="BS19" s="382">
        <v>993.65999999999997</v>
      </c>
      <c r="BT19" s="383">
        <f t="shared" si="224"/>
        <v>4</v>
      </c>
      <c r="BU19" s="117" t="s">
        <v>90</v>
      </c>
      <c r="BV19" s="117">
        <f t="shared" si="225"/>
        <v>0</v>
      </c>
      <c r="BW19" s="117" t="s">
        <v>91</v>
      </c>
      <c r="BX19" s="117">
        <f t="shared" si="226"/>
        <v>4</v>
      </c>
      <c r="BY19" s="117" t="s">
        <v>90</v>
      </c>
      <c r="BZ19" s="117">
        <f t="shared" si="227"/>
        <v>0</v>
      </c>
      <c r="CA19" s="117" t="s">
        <v>90</v>
      </c>
      <c r="CB19" s="117">
        <f t="shared" si="228"/>
        <v>0</v>
      </c>
      <c r="CC19" s="117" t="s">
        <v>91</v>
      </c>
      <c r="CD19" s="117">
        <f t="shared" si="229"/>
        <v>0.5</v>
      </c>
      <c r="CE19" s="117" t="s">
        <v>90</v>
      </c>
      <c r="CF19" s="117">
        <f t="shared" si="230"/>
        <v>0</v>
      </c>
      <c r="CG19" s="384">
        <v>277.13</v>
      </c>
      <c r="CH19" s="119">
        <v>222.71000000000001</v>
      </c>
      <c r="CI19" s="385">
        <f t="shared" si="231"/>
        <v>-2</v>
      </c>
      <c r="CJ19" s="386">
        <v>106171</v>
      </c>
      <c r="CK19" s="386">
        <v>61674.290000000001</v>
      </c>
      <c r="CL19" s="387">
        <f t="shared" si="232"/>
        <v>-2</v>
      </c>
      <c r="CM19" s="123" t="s">
        <v>90</v>
      </c>
      <c r="CN19" s="123">
        <f t="shared" si="233"/>
        <v>0</v>
      </c>
      <c r="CO19" s="123" t="s">
        <v>90</v>
      </c>
      <c r="CP19" s="123">
        <f t="shared" si="234"/>
        <v>0</v>
      </c>
      <c r="CQ19" s="123" t="s">
        <v>91</v>
      </c>
      <c r="CR19" s="123">
        <f t="shared" si="235"/>
        <v>0</v>
      </c>
      <c r="CS19" s="123" t="s">
        <v>90</v>
      </c>
      <c r="CT19" s="123">
        <f t="shared" si="236"/>
        <v>0</v>
      </c>
      <c r="CU19" s="146">
        <v>1250.0340000000001</v>
      </c>
      <c r="CV19" s="121">
        <v>822.09000000000003</v>
      </c>
      <c r="CW19" s="388">
        <f t="shared" si="237"/>
        <v>-2</v>
      </c>
      <c r="CX19" s="147">
        <v>120.59999999999999</v>
      </c>
      <c r="CY19" s="107">
        <f t="shared" si="238"/>
        <v>6</v>
      </c>
      <c r="CZ19" s="386">
        <v>661551</v>
      </c>
      <c r="DA19" s="389">
        <v>785771</v>
      </c>
      <c r="DB19" s="105">
        <f t="shared" si="239"/>
        <v>6</v>
      </c>
      <c r="DC19" s="105">
        <v>4</v>
      </c>
      <c r="DD19" s="105" t="s">
        <v>89</v>
      </c>
      <c r="DE19" s="183">
        <f t="shared" si="240"/>
        <v>4</v>
      </c>
      <c r="DF19" s="157">
        <v>91.799999999999997</v>
      </c>
      <c r="DG19" s="183">
        <f t="shared" si="241"/>
        <v>4</v>
      </c>
      <c r="DH19" s="117" t="s">
        <v>57</v>
      </c>
      <c r="DI19" s="390">
        <f t="shared" si="242"/>
        <v>0</v>
      </c>
      <c r="DJ19" s="133" t="s">
        <v>89</v>
      </c>
      <c r="DK19" s="391">
        <f t="shared" si="243"/>
        <v>4</v>
      </c>
      <c r="DL19" s="133" t="s">
        <v>89</v>
      </c>
      <c r="DM19" s="392">
        <f t="shared" si="244"/>
        <v>4</v>
      </c>
      <c r="DN19" s="393" t="s">
        <v>90</v>
      </c>
      <c r="DO19" s="170">
        <f t="shared" si="245"/>
        <v>0</v>
      </c>
      <c r="DP19" s="392" t="s">
        <v>91</v>
      </c>
      <c r="DQ19" s="183">
        <f t="shared" si="246"/>
        <v>0</v>
      </c>
      <c r="DR19" s="149">
        <f>(57.6+52.9+55.9)/3</f>
        <v>55.466666666666669</v>
      </c>
      <c r="DS19" s="105">
        <f t="shared" si="247"/>
        <v>4</v>
      </c>
      <c r="DT19" s="149">
        <v>50</v>
      </c>
      <c r="DU19" s="105">
        <f t="shared" si="248"/>
        <v>4</v>
      </c>
      <c r="DV19" s="138">
        <v>33</v>
      </c>
      <c r="DW19" s="139">
        <f t="shared" si="249"/>
        <v>1</v>
      </c>
      <c r="DX19" s="150">
        <v>25</v>
      </c>
      <c r="DY19" s="141">
        <f t="shared" si="250"/>
        <v>1</v>
      </c>
      <c r="DZ19" s="142">
        <f t="shared" si="251"/>
        <v>105</v>
      </c>
      <c r="EA19" s="143">
        <f t="shared" si="252"/>
        <v>15</v>
      </c>
    </row>
    <row r="20">
      <c r="A20" s="104" t="s">
        <v>106</v>
      </c>
      <c r="B20" s="105" t="s">
        <v>89</v>
      </c>
      <c r="C20" s="105">
        <f t="shared" si="191"/>
        <v>4</v>
      </c>
      <c r="D20" s="105" t="s">
        <v>89</v>
      </c>
      <c r="E20" s="105">
        <f t="shared" si="192"/>
        <v>4</v>
      </c>
      <c r="F20" s="105" t="s">
        <v>90</v>
      </c>
      <c r="G20" s="105">
        <f t="shared" si="193"/>
        <v>0</v>
      </c>
      <c r="H20" s="105" t="s">
        <v>91</v>
      </c>
      <c r="I20" s="105">
        <f t="shared" si="194"/>
        <v>1</v>
      </c>
      <c r="J20" s="105" t="s">
        <v>91</v>
      </c>
      <c r="K20" s="105">
        <f t="shared" si="195"/>
        <v>0.5</v>
      </c>
      <c r="L20" s="105" t="s">
        <v>90</v>
      </c>
      <c r="M20" s="105">
        <f t="shared" si="196"/>
        <v>0</v>
      </c>
      <c r="N20" s="105" t="s">
        <v>89</v>
      </c>
      <c r="O20" s="105">
        <f t="shared" si="197"/>
        <v>4</v>
      </c>
      <c r="P20" s="105" t="s">
        <v>89</v>
      </c>
      <c r="Q20" s="105">
        <f t="shared" si="198"/>
        <v>0.5</v>
      </c>
      <c r="R20" s="105" t="s">
        <v>89</v>
      </c>
      <c r="S20" s="105">
        <f t="shared" si="199"/>
        <v>0.5</v>
      </c>
      <c r="T20" s="105" t="s">
        <v>89</v>
      </c>
      <c r="U20" s="105">
        <f t="shared" si="200"/>
        <v>0.5</v>
      </c>
      <c r="V20" s="105" t="s">
        <v>89</v>
      </c>
      <c r="W20" s="105">
        <f t="shared" si="201"/>
        <v>0.5</v>
      </c>
      <c r="X20" s="105" t="s">
        <v>89</v>
      </c>
      <c r="Y20" s="105">
        <f t="shared" si="202"/>
        <v>4</v>
      </c>
      <c r="Z20" s="105" t="s">
        <v>91</v>
      </c>
      <c r="AA20" s="105">
        <f t="shared" si="203"/>
        <v>0.5</v>
      </c>
      <c r="AB20" s="105" t="s">
        <v>89</v>
      </c>
      <c r="AC20" s="105">
        <f t="shared" si="204"/>
        <v>4</v>
      </c>
      <c r="AD20" s="105" t="s">
        <v>89</v>
      </c>
      <c r="AE20" s="105">
        <f t="shared" si="205"/>
        <v>4</v>
      </c>
      <c r="AF20" s="105">
        <v>3</v>
      </c>
      <c r="AG20" s="105">
        <f t="shared" si="206"/>
        <v>3</v>
      </c>
      <c r="AH20" s="105" t="s">
        <v>89</v>
      </c>
      <c r="AI20" s="105">
        <f t="shared" si="207"/>
        <v>4</v>
      </c>
      <c r="AJ20" s="105" t="s">
        <v>57</v>
      </c>
      <c r="AK20" s="105" t="s">
        <v>90</v>
      </c>
      <c r="AL20" s="108" t="s">
        <v>90</v>
      </c>
      <c r="AM20" s="377">
        <f t="shared" si="208"/>
        <v>4</v>
      </c>
      <c r="AN20" s="378">
        <v>80.099999999999994</v>
      </c>
      <c r="AO20" s="379">
        <f t="shared" si="209"/>
        <v>4</v>
      </c>
      <c r="AP20" s="380">
        <v>60.899999999999999</v>
      </c>
      <c r="AQ20" s="379">
        <f t="shared" si="210"/>
        <v>4</v>
      </c>
      <c r="AR20" s="378">
        <v>1.5</v>
      </c>
      <c r="AS20" s="379">
        <f t="shared" si="211"/>
        <v>0</v>
      </c>
      <c r="AT20" s="378">
        <v>2</v>
      </c>
      <c r="AU20" s="381">
        <f t="shared" si="212"/>
        <v>0</v>
      </c>
      <c r="AV20" s="382">
        <v>6.5999999999999996</v>
      </c>
      <c r="AW20" s="105">
        <f t="shared" si="213"/>
        <v>2</v>
      </c>
      <c r="AX20" s="105" t="s">
        <v>89</v>
      </c>
      <c r="AY20" s="105">
        <f t="shared" si="214"/>
        <v>4</v>
      </c>
      <c r="AZ20" s="105" t="s">
        <v>89</v>
      </c>
      <c r="BA20" s="105">
        <f t="shared" si="215"/>
        <v>0.5</v>
      </c>
      <c r="BB20" s="105" t="s">
        <v>89</v>
      </c>
      <c r="BC20" s="105">
        <f t="shared" si="216"/>
        <v>0.5</v>
      </c>
      <c r="BD20" s="105" t="s">
        <v>89</v>
      </c>
      <c r="BE20" s="105">
        <f t="shared" si="217"/>
        <v>0.5</v>
      </c>
      <c r="BF20" s="105" t="s">
        <v>89</v>
      </c>
      <c r="BG20" s="105">
        <f t="shared" si="218"/>
        <v>0.5</v>
      </c>
      <c r="BH20" s="105" t="s">
        <v>89</v>
      </c>
      <c r="BI20" s="105">
        <f t="shared" si="219"/>
        <v>0.5</v>
      </c>
      <c r="BJ20" s="105" t="s">
        <v>89</v>
      </c>
      <c r="BK20" s="105">
        <f t="shared" si="220"/>
        <v>4</v>
      </c>
      <c r="BL20" s="105" t="s">
        <v>90</v>
      </c>
      <c r="BM20" s="105">
        <f t="shared" si="221"/>
        <v>0</v>
      </c>
      <c r="BN20" s="105" t="s">
        <v>91</v>
      </c>
      <c r="BO20" s="105">
        <f t="shared" si="222"/>
        <v>1</v>
      </c>
      <c r="BP20" s="105" t="s">
        <v>90</v>
      </c>
      <c r="BQ20" s="107">
        <f t="shared" si="223"/>
        <v>0</v>
      </c>
      <c r="BR20" s="378">
        <v>1755.0999999999999</v>
      </c>
      <c r="BS20" s="382">
        <v>1697</v>
      </c>
      <c r="BT20" s="383">
        <f t="shared" si="224"/>
        <v>-2</v>
      </c>
      <c r="BU20" s="117" t="s">
        <v>91</v>
      </c>
      <c r="BV20" s="117">
        <f t="shared" si="225"/>
        <v>6</v>
      </c>
      <c r="BW20" s="117" t="s">
        <v>90</v>
      </c>
      <c r="BX20" s="117">
        <f t="shared" si="226"/>
        <v>0</v>
      </c>
      <c r="BY20" s="117" t="s">
        <v>90</v>
      </c>
      <c r="BZ20" s="117">
        <f t="shared" si="227"/>
        <v>0</v>
      </c>
      <c r="CA20" s="117" t="s">
        <v>90</v>
      </c>
      <c r="CB20" s="117">
        <f t="shared" si="228"/>
        <v>0</v>
      </c>
      <c r="CC20" s="117" t="s">
        <v>90</v>
      </c>
      <c r="CD20" s="117">
        <f t="shared" si="229"/>
        <v>0</v>
      </c>
      <c r="CE20" s="117" t="s">
        <v>90</v>
      </c>
      <c r="CF20" s="117">
        <f t="shared" si="230"/>
        <v>0</v>
      </c>
      <c r="CG20" s="384">
        <v>277.13</v>
      </c>
      <c r="CH20" s="119">
        <v>187.13</v>
      </c>
      <c r="CI20" s="385">
        <f t="shared" si="231"/>
        <v>-2</v>
      </c>
      <c r="CJ20" s="386">
        <v>49994</v>
      </c>
      <c r="CK20" s="386">
        <v>57920.919999999998</v>
      </c>
      <c r="CL20" s="387">
        <f t="shared" si="232"/>
        <v>4</v>
      </c>
      <c r="CM20" s="123" t="s">
        <v>90</v>
      </c>
      <c r="CN20" s="123">
        <f t="shared" si="233"/>
        <v>0</v>
      </c>
      <c r="CO20" s="123" t="s">
        <v>90</v>
      </c>
      <c r="CP20" s="123">
        <f t="shared" si="234"/>
        <v>0</v>
      </c>
      <c r="CQ20" s="123" t="s">
        <v>91</v>
      </c>
      <c r="CR20" s="123">
        <f t="shared" si="235"/>
        <v>0</v>
      </c>
      <c r="CS20" s="123" t="s">
        <v>90</v>
      </c>
      <c r="CT20" s="123">
        <f t="shared" si="236"/>
        <v>0</v>
      </c>
      <c r="CU20" s="146">
        <v>1189.0260000000001</v>
      </c>
      <c r="CV20" s="121">
        <v>27.23</v>
      </c>
      <c r="CW20" s="388">
        <f t="shared" si="237"/>
        <v>-2</v>
      </c>
      <c r="CX20" s="147">
        <v>118.3</v>
      </c>
      <c r="CY20" s="107">
        <f t="shared" si="238"/>
        <v>6</v>
      </c>
      <c r="CZ20" s="386">
        <v>954021</v>
      </c>
      <c r="DA20" s="389">
        <v>1143547</v>
      </c>
      <c r="DB20" s="105">
        <f t="shared" si="239"/>
        <v>6</v>
      </c>
      <c r="DC20" s="105">
        <v>4</v>
      </c>
      <c r="DD20" s="105" t="s">
        <v>89</v>
      </c>
      <c r="DE20" s="183">
        <f t="shared" si="240"/>
        <v>4</v>
      </c>
      <c r="DF20" s="157">
        <v>67.799999999999997</v>
      </c>
      <c r="DG20" s="183">
        <f t="shared" si="241"/>
        <v>4</v>
      </c>
      <c r="DH20" s="117" t="s">
        <v>57</v>
      </c>
      <c r="DI20" s="390">
        <f t="shared" si="242"/>
        <v>0</v>
      </c>
      <c r="DJ20" s="133" t="s">
        <v>89</v>
      </c>
      <c r="DK20" s="391">
        <f t="shared" si="243"/>
        <v>4</v>
      </c>
      <c r="DL20" s="133" t="s">
        <v>89</v>
      </c>
      <c r="DM20" s="392">
        <f t="shared" si="244"/>
        <v>4</v>
      </c>
      <c r="DN20" s="393" t="s">
        <v>90</v>
      </c>
      <c r="DO20" s="170">
        <f t="shared" si="245"/>
        <v>0</v>
      </c>
      <c r="DP20" s="392" t="s">
        <v>91</v>
      </c>
      <c r="DQ20" s="183">
        <f t="shared" si="246"/>
        <v>0</v>
      </c>
      <c r="DR20" s="149">
        <f>(36.3+40.8+38.8)/3</f>
        <v>38.633333333333333</v>
      </c>
      <c r="DS20" s="105">
        <f t="shared" si="247"/>
        <v>2</v>
      </c>
      <c r="DT20" s="149">
        <v>50</v>
      </c>
      <c r="DU20" s="105">
        <f t="shared" si="248"/>
        <v>4</v>
      </c>
      <c r="DV20" s="138">
        <v>0</v>
      </c>
      <c r="DW20" s="139">
        <f t="shared" si="249"/>
        <v>-2</v>
      </c>
      <c r="DX20" s="150">
        <v>50</v>
      </c>
      <c r="DY20" s="141">
        <f t="shared" si="250"/>
        <v>4</v>
      </c>
      <c r="DZ20" s="142">
        <f t="shared" si="251"/>
        <v>104.5</v>
      </c>
      <c r="EA20" s="143">
        <f t="shared" si="252"/>
        <v>16</v>
      </c>
    </row>
    <row r="21">
      <c r="A21" s="104" t="s">
        <v>107</v>
      </c>
      <c r="B21" s="105" t="s">
        <v>89</v>
      </c>
      <c r="C21" s="105">
        <f t="shared" si="191"/>
        <v>4</v>
      </c>
      <c r="D21" s="105" t="s">
        <v>89</v>
      </c>
      <c r="E21" s="105">
        <f t="shared" si="192"/>
        <v>4</v>
      </c>
      <c r="F21" s="105" t="s">
        <v>90</v>
      </c>
      <c r="G21" s="105">
        <f t="shared" si="193"/>
        <v>0</v>
      </c>
      <c r="H21" s="105" t="s">
        <v>91</v>
      </c>
      <c r="I21" s="105">
        <f t="shared" si="194"/>
        <v>1</v>
      </c>
      <c r="J21" s="105" t="s">
        <v>91</v>
      </c>
      <c r="K21" s="105">
        <f t="shared" si="195"/>
        <v>0.5</v>
      </c>
      <c r="L21" s="105" t="s">
        <v>90</v>
      </c>
      <c r="M21" s="105">
        <f t="shared" si="196"/>
        <v>0</v>
      </c>
      <c r="N21" s="105" t="s">
        <v>89</v>
      </c>
      <c r="O21" s="105">
        <f t="shared" si="197"/>
        <v>4</v>
      </c>
      <c r="P21" s="105" t="s">
        <v>89</v>
      </c>
      <c r="Q21" s="105">
        <f t="shared" si="198"/>
        <v>0.5</v>
      </c>
      <c r="R21" s="105" t="s">
        <v>89</v>
      </c>
      <c r="S21" s="105">
        <f t="shared" si="199"/>
        <v>0.5</v>
      </c>
      <c r="T21" s="105" t="s">
        <v>89</v>
      </c>
      <c r="U21" s="105">
        <f t="shared" si="200"/>
        <v>0.5</v>
      </c>
      <c r="V21" s="105" t="s">
        <v>89</v>
      </c>
      <c r="W21" s="105">
        <f t="shared" si="201"/>
        <v>0.5</v>
      </c>
      <c r="X21" s="105" t="s">
        <v>89</v>
      </c>
      <c r="Y21" s="105">
        <f t="shared" si="202"/>
        <v>4</v>
      </c>
      <c r="Z21" s="105" t="s">
        <v>91</v>
      </c>
      <c r="AA21" s="105">
        <f t="shared" si="203"/>
        <v>0.5</v>
      </c>
      <c r="AB21" s="105" t="s">
        <v>89</v>
      </c>
      <c r="AC21" s="105">
        <f t="shared" si="204"/>
        <v>4</v>
      </c>
      <c r="AD21" s="105" t="s">
        <v>89</v>
      </c>
      <c r="AE21" s="105">
        <f t="shared" si="205"/>
        <v>4</v>
      </c>
      <c r="AF21" s="105">
        <v>3</v>
      </c>
      <c r="AG21" s="105">
        <f t="shared" si="206"/>
        <v>3</v>
      </c>
      <c r="AH21" s="105" t="s">
        <v>89</v>
      </c>
      <c r="AI21" s="105">
        <f t="shared" si="207"/>
        <v>4</v>
      </c>
      <c r="AJ21" s="105" t="s">
        <v>57</v>
      </c>
      <c r="AK21" s="105" t="s">
        <v>90</v>
      </c>
      <c r="AL21" s="108" t="s">
        <v>90</v>
      </c>
      <c r="AM21" s="377">
        <f t="shared" si="208"/>
        <v>4</v>
      </c>
      <c r="AN21" s="378">
        <v>98.5</v>
      </c>
      <c r="AO21" s="379">
        <f t="shared" si="209"/>
        <v>4</v>
      </c>
      <c r="AP21" s="380">
        <v>75.400000000000006</v>
      </c>
      <c r="AQ21" s="379">
        <f t="shared" si="210"/>
        <v>4</v>
      </c>
      <c r="AR21" s="378">
        <v>1.3999999999999999</v>
      </c>
      <c r="AS21" s="379">
        <f t="shared" si="211"/>
        <v>0</v>
      </c>
      <c r="AT21" s="378">
        <v>2.2999999999999998</v>
      </c>
      <c r="AU21" s="381">
        <f t="shared" si="212"/>
        <v>0</v>
      </c>
      <c r="AV21" s="382">
        <v>9.8000000000000007</v>
      </c>
      <c r="AW21" s="105">
        <f t="shared" si="213"/>
        <v>2</v>
      </c>
      <c r="AX21" s="105" t="s">
        <v>89</v>
      </c>
      <c r="AY21" s="105">
        <f t="shared" si="214"/>
        <v>4</v>
      </c>
      <c r="AZ21" s="105" t="s">
        <v>89</v>
      </c>
      <c r="BA21" s="105">
        <f t="shared" si="215"/>
        <v>0.5</v>
      </c>
      <c r="BB21" s="105" t="s">
        <v>89</v>
      </c>
      <c r="BC21" s="105">
        <f t="shared" si="216"/>
        <v>0.5</v>
      </c>
      <c r="BD21" s="105" t="s">
        <v>89</v>
      </c>
      <c r="BE21" s="105">
        <f t="shared" si="217"/>
        <v>0.5</v>
      </c>
      <c r="BF21" s="105" t="s">
        <v>89</v>
      </c>
      <c r="BG21" s="105">
        <f t="shared" si="218"/>
        <v>0.5</v>
      </c>
      <c r="BH21" s="105" t="s">
        <v>89</v>
      </c>
      <c r="BI21" s="105">
        <f t="shared" si="219"/>
        <v>0.5</v>
      </c>
      <c r="BJ21" s="105" t="s">
        <v>89</v>
      </c>
      <c r="BK21" s="105">
        <f t="shared" si="220"/>
        <v>4</v>
      </c>
      <c r="BL21" s="105" t="s">
        <v>91</v>
      </c>
      <c r="BM21" s="105">
        <f t="shared" si="221"/>
        <v>0.5</v>
      </c>
      <c r="BN21" s="105" t="s">
        <v>90</v>
      </c>
      <c r="BO21" s="105">
        <f t="shared" si="222"/>
        <v>0</v>
      </c>
      <c r="BP21" s="105" t="s">
        <v>90</v>
      </c>
      <c r="BQ21" s="107">
        <f t="shared" si="223"/>
        <v>0</v>
      </c>
      <c r="BR21" s="378">
        <v>4044.96</v>
      </c>
      <c r="BS21" s="382">
        <v>3681.1799999999998</v>
      </c>
      <c r="BT21" s="383">
        <f t="shared" si="224"/>
        <v>-2</v>
      </c>
      <c r="BU21" s="117" t="s">
        <v>91</v>
      </c>
      <c r="BV21" s="117">
        <f t="shared" si="225"/>
        <v>6</v>
      </c>
      <c r="BW21" s="117" t="s">
        <v>90</v>
      </c>
      <c r="BX21" s="117">
        <f t="shared" si="226"/>
        <v>0</v>
      </c>
      <c r="BY21" s="117" t="s">
        <v>90</v>
      </c>
      <c r="BZ21" s="117">
        <f t="shared" si="227"/>
        <v>0</v>
      </c>
      <c r="CA21" s="117" t="s">
        <v>90</v>
      </c>
      <c r="CB21" s="117">
        <f t="shared" si="228"/>
        <v>0</v>
      </c>
      <c r="CC21" s="117" t="s">
        <v>90</v>
      </c>
      <c r="CD21" s="117">
        <f t="shared" si="229"/>
        <v>0</v>
      </c>
      <c r="CE21" s="117" t="s">
        <v>90</v>
      </c>
      <c r="CF21" s="117">
        <f t="shared" si="230"/>
        <v>0</v>
      </c>
      <c r="CG21" s="384">
        <v>277.13</v>
      </c>
      <c r="CH21" s="119">
        <v>296.41000000000003</v>
      </c>
      <c r="CI21" s="385">
        <f t="shared" si="231"/>
        <v>4</v>
      </c>
      <c r="CJ21" s="386">
        <v>130533</v>
      </c>
      <c r="CK21" s="386">
        <v>135297.22</v>
      </c>
      <c r="CL21" s="387">
        <f t="shared" si="232"/>
        <v>2</v>
      </c>
      <c r="CM21" s="123" t="s">
        <v>90</v>
      </c>
      <c r="CN21" s="123">
        <f t="shared" si="233"/>
        <v>0</v>
      </c>
      <c r="CO21" s="123" t="s">
        <v>91</v>
      </c>
      <c r="CP21" s="123">
        <f t="shared" si="234"/>
        <v>4</v>
      </c>
      <c r="CQ21" s="123" t="s">
        <v>90</v>
      </c>
      <c r="CR21" s="123">
        <f t="shared" si="235"/>
        <v>0</v>
      </c>
      <c r="CS21" s="123" t="s">
        <v>90</v>
      </c>
      <c r="CT21" s="123">
        <f t="shared" si="236"/>
        <v>0</v>
      </c>
      <c r="CU21" s="121">
        <v>1590.8689999999999</v>
      </c>
      <c r="CV21" s="121">
        <v>1130.1099999999999</v>
      </c>
      <c r="CW21" s="388">
        <f t="shared" si="237"/>
        <v>-2</v>
      </c>
      <c r="CX21" s="147">
        <v>115.5</v>
      </c>
      <c r="CY21" s="107">
        <f t="shared" si="238"/>
        <v>6</v>
      </c>
      <c r="CZ21" s="386">
        <v>790125</v>
      </c>
      <c r="DA21" s="389">
        <v>1013017</v>
      </c>
      <c r="DB21" s="105">
        <f t="shared" si="239"/>
        <v>6</v>
      </c>
      <c r="DC21" s="105">
        <v>0</v>
      </c>
      <c r="DD21" s="105" t="s">
        <v>89</v>
      </c>
      <c r="DE21" s="183">
        <f t="shared" si="240"/>
        <v>4</v>
      </c>
      <c r="DF21" s="157">
        <v>78.700000000000003</v>
      </c>
      <c r="DG21" s="183">
        <f t="shared" si="241"/>
        <v>4</v>
      </c>
      <c r="DH21" s="117" t="s">
        <v>57</v>
      </c>
      <c r="DI21" s="390">
        <f t="shared" si="242"/>
        <v>0</v>
      </c>
      <c r="DJ21" s="133" t="s">
        <v>89</v>
      </c>
      <c r="DK21" s="391">
        <f t="shared" si="243"/>
        <v>4</v>
      </c>
      <c r="DL21" s="133" t="s">
        <v>89</v>
      </c>
      <c r="DM21" s="392">
        <f t="shared" si="244"/>
        <v>4</v>
      </c>
      <c r="DN21" s="393" t="s">
        <v>90</v>
      </c>
      <c r="DO21" s="170">
        <f t="shared" si="245"/>
        <v>0</v>
      </c>
      <c r="DP21" s="392" t="s">
        <v>91</v>
      </c>
      <c r="DQ21" s="183">
        <f t="shared" si="246"/>
        <v>0</v>
      </c>
      <c r="DR21" s="149">
        <f>(27.8+32.4+29.7)/3</f>
        <v>29.966666666666669</v>
      </c>
      <c r="DS21" s="105">
        <f t="shared" si="247"/>
        <v>0</v>
      </c>
      <c r="DT21" s="149">
        <v>100</v>
      </c>
      <c r="DU21" s="105">
        <f t="shared" si="248"/>
        <v>4</v>
      </c>
      <c r="DV21" s="138">
        <v>0</v>
      </c>
      <c r="DW21" s="139">
        <f t="shared" si="249"/>
        <v>-2</v>
      </c>
      <c r="DX21" s="150">
        <v>25</v>
      </c>
      <c r="DY21" s="141">
        <f t="shared" si="250"/>
        <v>1</v>
      </c>
      <c r="DZ21" s="142">
        <f t="shared" si="251"/>
        <v>103</v>
      </c>
      <c r="EA21" s="143">
        <f t="shared" si="252"/>
        <v>17</v>
      </c>
    </row>
    <row r="22">
      <c r="A22" s="104" t="s">
        <v>108</v>
      </c>
      <c r="B22" s="105" t="s">
        <v>89</v>
      </c>
      <c r="C22" s="105">
        <f t="shared" si="191"/>
        <v>4</v>
      </c>
      <c r="D22" s="105" t="s">
        <v>89</v>
      </c>
      <c r="E22" s="105">
        <f t="shared" si="192"/>
        <v>4</v>
      </c>
      <c r="F22" s="105" t="s">
        <v>90</v>
      </c>
      <c r="G22" s="105">
        <f t="shared" si="193"/>
        <v>0</v>
      </c>
      <c r="H22" s="105" t="s">
        <v>91</v>
      </c>
      <c r="I22" s="105">
        <f t="shared" si="194"/>
        <v>1</v>
      </c>
      <c r="J22" s="105" t="s">
        <v>90</v>
      </c>
      <c r="K22" s="105">
        <f t="shared" si="195"/>
        <v>0</v>
      </c>
      <c r="L22" s="105" t="s">
        <v>91</v>
      </c>
      <c r="M22" s="105">
        <f t="shared" si="196"/>
        <v>1</v>
      </c>
      <c r="N22" s="105" t="s">
        <v>89</v>
      </c>
      <c r="O22" s="105">
        <f t="shared" si="197"/>
        <v>4</v>
      </c>
      <c r="P22" s="105" t="s">
        <v>89</v>
      </c>
      <c r="Q22" s="105">
        <f t="shared" si="198"/>
        <v>0.5</v>
      </c>
      <c r="R22" s="105" t="s">
        <v>89</v>
      </c>
      <c r="S22" s="105">
        <f t="shared" si="199"/>
        <v>0.5</v>
      </c>
      <c r="T22" s="105" t="s">
        <v>89</v>
      </c>
      <c r="U22" s="105">
        <f t="shared" si="200"/>
        <v>0.5</v>
      </c>
      <c r="V22" s="105" t="s">
        <v>89</v>
      </c>
      <c r="W22" s="105">
        <f t="shared" si="201"/>
        <v>0.5</v>
      </c>
      <c r="X22" s="105" t="s">
        <v>89</v>
      </c>
      <c r="Y22" s="105">
        <f t="shared" si="202"/>
        <v>4</v>
      </c>
      <c r="Z22" s="105" t="s">
        <v>91</v>
      </c>
      <c r="AA22" s="105">
        <f t="shared" si="203"/>
        <v>0.5</v>
      </c>
      <c r="AB22" s="105" t="s">
        <v>89</v>
      </c>
      <c r="AC22" s="105">
        <f t="shared" si="204"/>
        <v>4</v>
      </c>
      <c r="AD22" s="105" t="s">
        <v>89</v>
      </c>
      <c r="AE22" s="105">
        <f t="shared" si="205"/>
        <v>4</v>
      </c>
      <c r="AF22" s="105">
        <v>1</v>
      </c>
      <c r="AG22" s="105">
        <f t="shared" si="206"/>
        <v>1</v>
      </c>
      <c r="AH22" s="105" t="s">
        <v>89</v>
      </c>
      <c r="AI22" s="105">
        <f t="shared" si="207"/>
        <v>4</v>
      </c>
      <c r="AJ22" s="105" t="s">
        <v>90</v>
      </c>
      <c r="AK22" s="105" t="s">
        <v>89</v>
      </c>
      <c r="AL22" s="108" t="s">
        <v>90</v>
      </c>
      <c r="AM22" s="377">
        <f t="shared" si="208"/>
        <v>0</v>
      </c>
      <c r="AN22" s="378">
        <v>93.900000000000006</v>
      </c>
      <c r="AO22" s="379">
        <f t="shared" si="209"/>
        <v>4</v>
      </c>
      <c r="AP22" s="380">
        <v>79.099999999999994</v>
      </c>
      <c r="AQ22" s="379">
        <f t="shared" si="210"/>
        <v>4</v>
      </c>
      <c r="AR22" s="378">
        <v>0.80000000000000004</v>
      </c>
      <c r="AS22" s="379">
        <f t="shared" si="211"/>
        <v>-2</v>
      </c>
      <c r="AT22" s="378">
        <v>1.6000000000000001</v>
      </c>
      <c r="AU22" s="381">
        <f t="shared" si="212"/>
        <v>0</v>
      </c>
      <c r="AV22" s="382">
        <v>4.9000000000000004</v>
      </c>
      <c r="AW22" s="105">
        <f t="shared" si="213"/>
        <v>2</v>
      </c>
      <c r="AX22" s="105" t="s">
        <v>89</v>
      </c>
      <c r="AY22" s="105">
        <f t="shared" si="214"/>
        <v>4</v>
      </c>
      <c r="AZ22" s="105" t="s">
        <v>89</v>
      </c>
      <c r="BA22" s="105">
        <f t="shared" si="215"/>
        <v>0.5</v>
      </c>
      <c r="BB22" s="105" t="s">
        <v>89</v>
      </c>
      <c r="BC22" s="105">
        <f t="shared" si="216"/>
        <v>0.5</v>
      </c>
      <c r="BD22" s="105" t="s">
        <v>89</v>
      </c>
      <c r="BE22" s="105">
        <f t="shared" si="217"/>
        <v>0.5</v>
      </c>
      <c r="BF22" s="105" t="s">
        <v>89</v>
      </c>
      <c r="BG22" s="105">
        <f t="shared" si="218"/>
        <v>0.5</v>
      </c>
      <c r="BH22" s="105" t="s">
        <v>89</v>
      </c>
      <c r="BI22" s="105">
        <f t="shared" si="219"/>
        <v>0.5</v>
      </c>
      <c r="BJ22" s="105" t="s">
        <v>89</v>
      </c>
      <c r="BK22" s="105">
        <f t="shared" si="220"/>
        <v>4</v>
      </c>
      <c r="BL22" s="105" t="s">
        <v>90</v>
      </c>
      <c r="BM22" s="105">
        <f t="shared" si="221"/>
        <v>0</v>
      </c>
      <c r="BN22" s="105" t="s">
        <v>90</v>
      </c>
      <c r="BO22" s="105">
        <f t="shared" si="222"/>
        <v>0</v>
      </c>
      <c r="BP22" s="105" t="s">
        <v>91</v>
      </c>
      <c r="BQ22" s="107">
        <f t="shared" si="223"/>
        <v>1.5</v>
      </c>
      <c r="BR22" s="378">
        <v>1543.22</v>
      </c>
      <c r="BS22" s="382">
        <v>1212.74</v>
      </c>
      <c r="BT22" s="383">
        <f t="shared" si="224"/>
        <v>-2</v>
      </c>
      <c r="BU22" s="117" t="s">
        <v>90</v>
      </c>
      <c r="BV22" s="117">
        <f t="shared" si="225"/>
        <v>0</v>
      </c>
      <c r="BW22" s="117" t="s">
        <v>90</v>
      </c>
      <c r="BX22" s="117">
        <f t="shared" si="226"/>
        <v>0</v>
      </c>
      <c r="BY22" s="117" t="s">
        <v>91</v>
      </c>
      <c r="BZ22" s="117">
        <f t="shared" si="227"/>
        <v>2</v>
      </c>
      <c r="CA22" s="117" t="s">
        <v>90</v>
      </c>
      <c r="CB22" s="117">
        <f t="shared" si="228"/>
        <v>0</v>
      </c>
      <c r="CC22" s="117" t="s">
        <v>90</v>
      </c>
      <c r="CD22" s="117">
        <f t="shared" si="229"/>
        <v>0</v>
      </c>
      <c r="CE22" s="117" t="s">
        <v>90</v>
      </c>
      <c r="CF22" s="117">
        <f t="shared" si="230"/>
        <v>0</v>
      </c>
      <c r="CG22" s="384">
        <v>277.13</v>
      </c>
      <c r="CH22" s="119">
        <v>187.86000000000001</v>
      </c>
      <c r="CI22" s="385">
        <f t="shared" si="231"/>
        <v>-2</v>
      </c>
      <c r="CJ22" s="386">
        <v>205816</v>
      </c>
      <c r="CK22" s="386">
        <v>236621.98999999999</v>
      </c>
      <c r="CL22" s="387">
        <f t="shared" si="232"/>
        <v>4</v>
      </c>
      <c r="CM22" s="123" t="s">
        <v>90</v>
      </c>
      <c r="CN22" s="123">
        <f t="shared" si="233"/>
        <v>0</v>
      </c>
      <c r="CO22" s="123" t="s">
        <v>90</v>
      </c>
      <c r="CP22" s="123">
        <f t="shared" si="234"/>
        <v>0</v>
      </c>
      <c r="CQ22" s="123" t="s">
        <v>91</v>
      </c>
      <c r="CR22" s="123">
        <f t="shared" si="235"/>
        <v>0</v>
      </c>
      <c r="CS22" s="123" t="s">
        <v>90</v>
      </c>
      <c r="CT22" s="123">
        <f t="shared" si="236"/>
        <v>0</v>
      </c>
      <c r="CU22" s="146">
        <v>7397.0609999999997</v>
      </c>
      <c r="CV22" s="121">
        <v>417.18000000000001</v>
      </c>
      <c r="CW22" s="388">
        <f t="shared" si="237"/>
        <v>-2</v>
      </c>
      <c r="CX22" s="147">
        <v>116.90000000000001</v>
      </c>
      <c r="CY22" s="107">
        <f t="shared" si="238"/>
        <v>6</v>
      </c>
      <c r="CZ22" s="386">
        <v>307876</v>
      </c>
      <c r="DA22" s="389">
        <v>364895</v>
      </c>
      <c r="DB22" s="105">
        <f t="shared" si="239"/>
        <v>6</v>
      </c>
      <c r="DC22" s="105">
        <v>4</v>
      </c>
      <c r="DD22" s="105" t="s">
        <v>89</v>
      </c>
      <c r="DE22" s="183">
        <f t="shared" si="240"/>
        <v>4</v>
      </c>
      <c r="DF22" s="157">
        <v>85.900000000000006</v>
      </c>
      <c r="DG22" s="183">
        <f t="shared" si="241"/>
        <v>4</v>
      </c>
      <c r="DH22" s="117" t="s">
        <v>89</v>
      </c>
      <c r="DI22" s="390">
        <f t="shared" si="242"/>
        <v>1</v>
      </c>
      <c r="DJ22" s="133" t="s">
        <v>89</v>
      </c>
      <c r="DK22" s="391">
        <f t="shared" si="243"/>
        <v>4</v>
      </c>
      <c r="DL22" s="133" t="s">
        <v>89</v>
      </c>
      <c r="DM22" s="392">
        <f t="shared" si="244"/>
        <v>4</v>
      </c>
      <c r="DN22" s="397" t="s">
        <v>90</v>
      </c>
      <c r="DO22" s="170">
        <f t="shared" si="245"/>
        <v>0</v>
      </c>
      <c r="DP22" s="398" t="s">
        <v>91</v>
      </c>
      <c r="DQ22" s="399">
        <f t="shared" si="246"/>
        <v>0</v>
      </c>
      <c r="DR22" s="149">
        <f>(58.5+57.4+53.7)/3</f>
        <v>56.533333333333339</v>
      </c>
      <c r="DS22" s="400">
        <f t="shared" si="247"/>
        <v>4</v>
      </c>
      <c r="DT22" s="401">
        <v>83.299999999999997</v>
      </c>
      <c r="DU22" s="400">
        <f t="shared" si="248"/>
        <v>4</v>
      </c>
      <c r="DV22" s="402">
        <v>33.299999999999997</v>
      </c>
      <c r="DW22" s="139">
        <f t="shared" si="249"/>
        <v>1</v>
      </c>
      <c r="DX22" s="150">
        <v>50</v>
      </c>
      <c r="DY22" s="403">
        <f t="shared" si="250"/>
        <v>4</v>
      </c>
      <c r="DZ22" s="142">
        <f t="shared" si="251"/>
        <v>99.5</v>
      </c>
      <c r="EA22" s="404">
        <f t="shared" si="252"/>
        <v>18</v>
      </c>
    </row>
    <row r="23">
      <c r="A23" s="104" t="s">
        <v>109</v>
      </c>
      <c r="B23" s="105" t="s">
        <v>89</v>
      </c>
      <c r="C23" s="105">
        <f t="shared" si="191"/>
        <v>4</v>
      </c>
      <c r="D23" s="105" t="s">
        <v>89</v>
      </c>
      <c r="E23" s="105">
        <f t="shared" si="192"/>
        <v>4</v>
      </c>
      <c r="F23" s="105" t="s">
        <v>90</v>
      </c>
      <c r="G23" s="105">
        <f t="shared" si="193"/>
        <v>0</v>
      </c>
      <c r="H23" s="105" t="s">
        <v>91</v>
      </c>
      <c r="I23" s="105">
        <f t="shared" si="194"/>
        <v>1</v>
      </c>
      <c r="J23" s="105" t="s">
        <v>91</v>
      </c>
      <c r="K23" s="105">
        <f t="shared" si="195"/>
        <v>0.5</v>
      </c>
      <c r="L23" s="105" t="s">
        <v>90</v>
      </c>
      <c r="M23" s="105">
        <f t="shared" si="196"/>
        <v>0</v>
      </c>
      <c r="N23" s="105" t="s">
        <v>89</v>
      </c>
      <c r="O23" s="105">
        <f t="shared" si="197"/>
        <v>4</v>
      </c>
      <c r="P23" s="105" t="s">
        <v>89</v>
      </c>
      <c r="Q23" s="105">
        <f t="shared" si="198"/>
        <v>0.5</v>
      </c>
      <c r="R23" s="105" t="s">
        <v>89</v>
      </c>
      <c r="S23" s="105">
        <f t="shared" si="199"/>
        <v>0.5</v>
      </c>
      <c r="T23" s="105" t="s">
        <v>89</v>
      </c>
      <c r="U23" s="105">
        <f t="shared" si="200"/>
        <v>0.5</v>
      </c>
      <c r="V23" s="105" t="s">
        <v>89</v>
      </c>
      <c r="W23" s="105">
        <f t="shared" si="201"/>
        <v>0.5</v>
      </c>
      <c r="X23" s="105" t="s">
        <v>89</v>
      </c>
      <c r="Y23" s="105">
        <f t="shared" si="202"/>
        <v>4</v>
      </c>
      <c r="Z23" s="105" t="s">
        <v>91</v>
      </c>
      <c r="AA23" s="105">
        <f t="shared" si="203"/>
        <v>0.5</v>
      </c>
      <c r="AB23" s="105" t="s">
        <v>89</v>
      </c>
      <c r="AC23" s="105">
        <f t="shared" si="204"/>
        <v>4</v>
      </c>
      <c r="AD23" s="105" t="s">
        <v>89</v>
      </c>
      <c r="AE23" s="105">
        <f t="shared" si="205"/>
        <v>4</v>
      </c>
      <c r="AF23" s="105">
        <v>1</v>
      </c>
      <c r="AG23" s="105">
        <f t="shared" si="206"/>
        <v>1</v>
      </c>
      <c r="AH23" s="105" t="s">
        <v>89</v>
      </c>
      <c r="AI23" s="105">
        <f t="shared" si="207"/>
        <v>4</v>
      </c>
      <c r="AJ23" s="105" t="s">
        <v>57</v>
      </c>
      <c r="AK23" s="105" t="s">
        <v>90</v>
      </c>
      <c r="AL23" s="108" t="s">
        <v>90</v>
      </c>
      <c r="AM23" s="377">
        <f t="shared" si="208"/>
        <v>4</v>
      </c>
      <c r="AN23" s="378">
        <v>60.200000000000003</v>
      </c>
      <c r="AO23" s="379">
        <f t="shared" si="209"/>
        <v>4</v>
      </c>
      <c r="AP23" s="380">
        <v>67.700000000000003</v>
      </c>
      <c r="AQ23" s="379">
        <f t="shared" si="210"/>
        <v>4</v>
      </c>
      <c r="AR23" s="378">
        <v>2</v>
      </c>
      <c r="AS23" s="379">
        <f t="shared" si="211"/>
        <v>4</v>
      </c>
      <c r="AT23" s="378">
        <v>1.5</v>
      </c>
      <c r="AU23" s="381">
        <f t="shared" si="212"/>
        <v>0</v>
      </c>
      <c r="AV23" s="382">
        <v>13.1</v>
      </c>
      <c r="AW23" s="105">
        <f t="shared" si="213"/>
        <v>0</v>
      </c>
      <c r="AX23" s="105" t="s">
        <v>89</v>
      </c>
      <c r="AY23" s="105">
        <f t="shared" si="214"/>
        <v>4</v>
      </c>
      <c r="AZ23" s="105" t="s">
        <v>89</v>
      </c>
      <c r="BA23" s="105">
        <f t="shared" si="215"/>
        <v>0.5</v>
      </c>
      <c r="BB23" s="105" t="s">
        <v>89</v>
      </c>
      <c r="BC23" s="105">
        <f t="shared" si="216"/>
        <v>0.5</v>
      </c>
      <c r="BD23" s="105" t="s">
        <v>89</v>
      </c>
      <c r="BE23" s="105">
        <f t="shared" si="217"/>
        <v>0.5</v>
      </c>
      <c r="BF23" s="105" t="s">
        <v>89</v>
      </c>
      <c r="BG23" s="105">
        <f t="shared" si="218"/>
        <v>0.5</v>
      </c>
      <c r="BH23" s="105" t="s">
        <v>89</v>
      </c>
      <c r="BI23" s="105">
        <f t="shared" si="219"/>
        <v>0.5</v>
      </c>
      <c r="BJ23" s="105" t="s">
        <v>89</v>
      </c>
      <c r="BK23" s="105">
        <f t="shared" si="220"/>
        <v>4</v>
      </c>
      <c r="BL23" s="105" t="s">
        <v>90</v>
      </c>
      <c r="BM23" s="105">
        <f t="shared" si="221"/>
        <v>0</v>
      </c>
      <c r="BN23" s="105" t="s">
        <v>91</v>
      </c>
      <c r="BO23" s="105">
        <f t="shared" si="222"/>
        <v>1</v>
      </c>
      <c r="BP23" s="105" t="s">
        <v>90</v>
      </c>
      <c r="BQ23" s="107">
        <f t="shared" si="223"/>
        <v>0</v>
      </c>
      <c r="BR23" s="378">
        <v>2400</v>
      </c>
      <c r="BS23" s="382">
        <v>1313.7</v>
      </c>
      <c r="BT23" s="383">
        <f t="shared" si="224"/>
        <v>-2</v>
      </c>
      <c r="BU23" s="117" t="s">
        <v>90</v>
      </c>
      <c r="BV23" s="117">
        <f t="shared" si="225"/>
        <v>0</v>
      </c>
      <c r="BW23" s="117" t="s">
        <v>90</v>
      </c>
      <c r="BX23" s="117">
        <f t="shared" si="226"/>
        <v>0</v>
      </c>
      <c r="BY23" s="117" t="s">
        <v>91</v>
      </c>
      <c r="BZ23" s="117">
        <f t="shared" si="227"/>
        <v>2</v>
      </c>
      <c r="CA23" s="117" t="s">
        <v>90</v>
      </c>
      <c r="CB23" s="117">
        <f t="shared" si="228"/>
        <v>0</v>
      </c>
      <c r="CC23" s="117" t="s">
        <v>90</v>
      </c>
      <c r="CD23" s="117">
        <f t="shared" si="229"/>
        <v>0</v>
      </c>
      <c r="CE23" s="117" t="s">
        <v>90</v>
      </c>
      <c r="CF23" s="117">
        <f t="shared" si="230"/>
        <v>0</v>
      </c>
      <c r="CG23" s="384">
        <v>277.13</v>
      </c>
      <c r="CH23" s="119">
        <v>229.80000000000001</v>
      </c>
      <c r="CI23" s="385">
        <f t="shared" si="231"/>
        <v>-2</v>
      </c>
      <c r="CJ23" s="386">
        <v>103901</v>
      </c>
      <c r="CK23" s="386">
        <v>124113.66</v>
      </c>
      <c r="CL23" s="387">
        <f t="shared" si="232"/>
        <v>4</v>
      </c>
      <c r="CM23" s="123" t="s">
        <v>90</v>
      </c>
      <c r="CN23" s="123">
        <f t="shared" si="233"/>
        <v>0</v>
      </c>
      <c r="CO23" s="123" t="s">
        <v>91</v>
      </c>
      <c r="CP23" s="123">
        <f t="shared" si="234"/>
        <v>4</v>
      </c>
      <c r="CQ23" s="123" t="s">
        <v>90</v>
      </c>
      <c r="CR23" s="123">
        <f t="shared" si="235"/>
        <v>0</v>
      </c>
      <c r="CS23" s="123" t="s">
        <v>90</v>
      </c>
      <c r="CT23" s="123">
        <f t="shared" si="236"/>
        <v>0</v>
      </c>
      <c r="CU23" s="146">
        <v>2873.0050000000001</v>
      </c>
      <c r="CV23" s="121">
        <v>995.69000000000005</v>
      </c>
      <c r="CW23" s="388">
        <f t="shared" si="237"/>
        <v>-2</v>
      </c>
      <c r="CX23" s="126">
        <v>121</v>
      </c>
      <c r="CY23" s="107">
        <f t="shared" si="238"/>
        <v>6</v>
      </c>
      <c r="CZ23" s="386">
        <v>1290255</v>
      </c>
      <c r="DA23" s="389">
        <v>1491798</v>
      </c>
      <c r="DB23" s="105">
        <f t="shared" si="239"/>
        <v>6</v>
      </c>
      <c r="DC23" s="105">
        <v>0</v>
      </c>
      <c r="DD23" s="105" t="s">
        <v>89</v>
      </c>
      <c r="DE23" s="183">
        <f t="shared" si="240"/>
        <v>4</v>
      </c>
      <c r="DF23" s="157">
        <v>50.299999999999997</v>
      </c>
      <c r="DG23" s="183">
        <f t="shared" si="241"/>
        <v>4</v>
      </c>
      <c r="DH23" s="117" t="s">
        <v>57</v>
      </c>
      <c r="DI23" s="390">
        <f t="shared" si="242"/>
        <v>0</v>
      </c>
      <c r="DJ23" s="133" t="s">
        <v>89</v>
      </c>
      <c r="DK23" s="391">
        <f t="shared" si="243"/>
        <v>4</v>
      </c>
      <c r="DL23" s="133" t="s">
        <v>89</v>
      </c>
      <c r="DM23" s="392">
        <f t="shared" si="244"/>
        <v>4</v>
      </c>
      <c r="DN23" s="393" t="s">
        <v>90</v>
      </c>
      <c r="DO23" s="170">
        <f t="shared" si="245"/>
        <v>0</v>
      </c>
      <c r="DP23" s="392" t="s">
        <v>91</v>
      </c>
      <c r="DQ23" s="183">
        <f t="shared" si="246"/>
        <v>0</v>
      </c>
      <c r="DR23" s="149">
        <f>(54.3+51.1+51.1)/3</f>
        <v>52.166666666666664</v>
      </c>
      <c r="DS23" s="105">
        <f t="shared" si="247"/>
        <v>4</v>
      </c>
      <c r="DT23" s="149">
        <v>100</v>
      </c>
      <c r="DU23" s="105">
        <f t="shared" si="248"/>
        <v>4</v>
      </c>
      <c r="DV23" s="138">
        <v>0</v>
      </c>
      <c r="DW23" s="139">
        <f t="shared" si="249"/>
        <v>-2</v>
      </c>
      <c r="DX23" s="150">
        <v>25</v>
      </c>
      <c r="DY23" s="141">
        <f t="shared" si="250"/>
        <v>1</v>
      </c>
      <c r="DZ23" s="142">
        <f t="shared" si="251"/>
        <v>99.5</v>
      </c>
      <c r="EA23" s="143">
        <f t="shared" si="252"/>
        <v>18</v>
      </c>
    </row>
    <row r="24">
      <c r="A24" s="104" t="s">
        <v>111</v>
      </c>
      <c r="B24" s="105" t="s">
        <v>89</v>
      </c>
      <c r="C24" s="105">
        <f t="shared" si="191"/>
        <v>4</v>
      </c>
      <c r="D24" s="105" t="s">
        <v>89</v>
      </c>
      <c r="E24" s="105">
        <f t="shared" si="192"/>
        <v>4</v>
      </c>
      <c r="F24" s="105" t="s">
        <v>91</v>
      </c>
      <c r="G24" s="105">
        <f t="shared" si="193"/>
        <v>0.5</v>
      </c>
      <c r="H24" s="105" t="s">
        <v>90</v>
      </c>
      <c r="I24" s="105">
        <f t="shared" si="194"/>
        <v>0</v>
      </c>
      <c r="J24" s="105" t="s">
        <v>91</v>
      </c>
      <c r="K24" s="105">
        <f t="shared" si="195"/>
        <v>0.5</v>
      </c>
      <c r="L24" s="105" t="s">
        <v>90</v>
      </c>
      <c r="M24" s="105">
        <f t="shared" si="196"/>
        <v>0</v>
      </c>
      <c r="N24" s="105" t="s">
        <v>89</v>
      </c>
      <c r="O24" s="105">
        <f t="shared" si="197"/>
        <v>4</v>
      </c>
      <c r="P24" s="105" t="s">
        <v>89</v>
      </c>
      <c r="Q24" s="105">
        <f t="shared" si="198"/>
        <v>0.5</v>
      </c>
      <c r="R24" s="105" t="s">
        <v>89</v>
      </c>
      <c r="S24" s="105">
        <f t="shared" si="199"/>
        <v>0.5</v>
      </c>
      <c r="T24" s="105" t="s">
        <v>89</v>
      </c>
      <c r="U24" s="105">
        <f t="shared" si="200"/>
        <v>0.5</v>
      </c>
      <c r="V24" s="105" t="s">
        <v>89</v>
      </c>
      <c r="W24" s="105">
        <f t="shared" si="201"/>
        <v>0.5</v>
      </c>
      <c r="X24" s="105" t="s">
        <v>89</v>
      </c>
      <c r="Y24" s="105">
        <f t="shared" si="202"/>
        <v>4</v>
      </c>
      <c r="Z24" s="105" t="s">
        <v>91</v>
      </c>
      <c r="AA24" s="105">
        <f t="shared" si="203"/>
        <v>0.5</v>
      </c>
      <c r="AB24" s="105" t="s">
        <v>89</v>
      </c>
      <c r="AC24" s="105">
        <f t="shared" si="204"/>
        <v>4</v>
      </c>
      <c r="AD24" s="105" t="s">
        <v>89</v>
      </c>
      <c r="AE24" s="105">
        <f t="shared" si="205"/>
        <v>4</v>
      </c>
      <c r="AF24" s="105">
        <v>0</v>
      </c>
      <c r="AG24" s="105">
        <f t="shared" si="206"/>
        <v>0</v>
      </c>
      <c r="AH24" s="105" t="s">
        <v>89</v>
      </c>
      <c r="AI24" s="105">
        <f t="shared" si="207"/>
        <v>4</v>
      </c>
      <c r="AJ24" s="105" t="s">
        <v>57</v>
      </c>
      <c r="AK24" s="105" t="s">
        <v>90</v>
      </c>
      <c r="AL24" s="108" t="s">
        <v>90</v>
      </c>
      <c r="AM24" s="377">
        <f t="shared" si="208"/>
        <v>4</v>
      </c>
      <c r="AN24" s="378">
        <v>100</v>
      </c>
      <c r="AO24" s="379">
        <f t="shared" si="209"/>
        <v>4</v>
      </c>
      <c r="AP24" s="380">
        <v>60.5</v>
      </c>
      <c r="AQ24" s="379">
        <f t="shared" si="210"/>
        <v>4</v>
      </c>
      <c r="AR24" s="378">
        <v>1</v>
      </c>
      <c r="AS24" s="379">
        <f>IF(AR22&lt;=0.99,-2,IF(AR22&lt;=1.99,0,IF(AR22&gt;=1.99,4)))</f>
        <v>-2</v>
      </c>
      <c r="AT24" s="378">
        <v>2</v>
      </c>
      <c r="AU24" s="381">
        <f t="shared" si="212"/>
        <v>0</v>
      </c>
      <c r="AV24" s="382">
        <v>10</v>
      </c>
      <c r="AW24" s="105">
        <f t="shared" si="213"/>
        <v>0</v>
      </c>
      <c r="AX24" s="105" t="s">
        <v>89</v>
      </c>
      <c r="AY24" s="105">
        <f t="shared" si="214"/>
        <v>4</v>
      </c>
      <c r="AZ24" s="105" t="s">
        <v>89</v>
      </c>
      <c r="BA24" s="105">
        <f t="shared" si="215"/>
        <v>0.5</v>
      </c>
      <c r="BB24" s="105" t="s">
        <v>89</v>
      </c>
      <c r="BC24" s="105">
        <f t="shared" si="216"/>
        <v>0.5</v>
      </c>
      <c r="BD24" s="105" t="s">
        <v>89</v>
      </c>
      <c r="BE24" s="105">
        <f t="shared" si="217"/>
        <v>0.5</v>
      </c>
      <c r="BF24" s="105" t="s">
        <v>89</v>
      </c>
      <c r="BG24" s="105">
        <f t="shared" si="218"/>
        <v>0.5</v>
      </c>
      <c r="BH24" s="105" t="s">
        <v>89</v>
      </c>
      <c r="BI24" s="105">
        <f t="shared" si="219"/>
        <v>0.5</v>
      </c>
      <c r="BJ24" s="105" t="s">
        <v>89</v>
      </c>
      <c r="BK24" s="105">
        <f t="shared" si="220"/>
        <v>4</v>
      </c>
      <c r="BL24" s="105" t="s">
        <v>90</v>
      </c>
      <c r="BM24" s="105">
        <f t="shared" si="221"/>
        <v>0</v>
      </c>
      <c r="BN24" s="105" t="s">
        <v>91</v>
      </c>
      <c r="BO24" s="105">
        <f t="shared" si="222"/>
        <v>1</v>
      </c>
      <c r="BP24" s="105" t="s">
        <v>90</v>
      </c>
      <c r="BQ24" s="107">
        <f t="shared" si="223"/>
        <v>0</v>
      </c>
      <c r="BR24" s="378">
        <v>1232.8</v>
      </c>
      <c r="BS24" s="382">
        <v>1030.2</v>
      </c>
      <c r="BT24" s="383">
        <f t="shared" si="224"/>
        <v>-2</v>
      </c>
      <c r="BU24" s="178" t="s">
        <v>90</v>
      </c>
      <c r="BV24" s="178">
        <f t="shared" si="225"/>
        <v>0</v>
      </c>
      <c r="BW24" s="178" t="s">
        <v>90</v>
      </c>
      <c r="BX24" s="178">
        <f t="shared" si="226"/>
        <v>0</v>
      </c>
      <c r="BY24" s="178" t="s">
        <v>91</v>
      </c>
      <c r="BZ24" s="178">
        <f t="shared" si="227"/>
        <v>2</v>
      </c>
      <c r="CA24" s="178" t="s">
        <v>90</v>
      </c>
      <c r="CB24" s="178">
        <f t="shared" si="228"/>
        <v>0</v>
      </c>
      <c r="CC24" s="117" t="s">
        <v>90</v>
      </c>
      <c r="CD24" s="117">
        <f t="shared" si="229"/>
        <v>0</v>
      </c>
      <c r="CE24" s="117" t="s">
        <v>90</v>
      </c>
      <c r="CF24" s="117">
        <f t="shared" si="230"/>
        <v>0</v>
      </c>
      <c r="CG24" s="384">
        <v>277.13</v>
      </c>
      <c r="CH24" s="119">
        <v>204.27000000000001</v>
      </c>
      <c r="CI24" s="385">
        <f t="shared" si="231"/>
        <v>-2</v>
      </c>
      <c r="CJ24" s="386">
        <v>142861</v>
      </c>
      <c r="CK24" s="386">
        <v>181463.91</v>
      </c>
      <c r="CL24" s="387">
        <f t="shared" si="232"/>
        <v>4</v>
      </c>
      <c r="CM24" s="123" t="s">
        <v>90</v>
      </c>
      <c r="CN24" s="123">
        <f t="shared" si="233"/>
        <v>0</v>
      </c>
      <c r="CO24" s="123" t="s">
        <v>91</v>
      </c>
      <c r="CP24" s="123">
        <f t="shared" si="234"/>
        <v>4</v>
      </c>
      <c r="CQ24" s="123" t="s">
        <v>90</v>
      </c>
      <c r="CR24" s="123">
        <f t="shared" si="235"/>
        <v>0</v>
      </c>
      <c r="CS24" s="123" t="s">
        <v>90</v>
      </c>
      <c r="CT24" s="123">
        <f t="shared" si="236"/>
        <v>0</v>
      </c>
      <c r="CU24" s="146">
        <v>1345.953</v>
      </c>
      <c r="CV24" s="121">
        <v>535.79999999999995</v>
      </c>
      <c r="CW24" s="388">
        <f t="shared" si="237"/>
        <v>-2</v>
      </c>
      <c r="CX24" s="147">
        <v>115.7</v>
      </c>
      <c r="CY24" s="107">
        <f t="shared" si="238"/>
        <v>6</v>
      </c>
      <c r="CZ24" s="386">
        <v>268788</v>
      </c>
      <c r="DA24" s="389">
        <v>306868</v>
      </c>
      <c r="DB24" s="105">
        <f t="shared" si="239"/>
        <v>6</v>
      </c>
      <c r="DC24" s="105">
        <v>4</v>
      </c>
      <c r="DD24" s="105" t="s">
        <v>89</v>
      </c>
      <c r="DE24" s="183">
        <f t="shared" si="240"/>
        <v>4</v>
      </c>
      <c r="DF24" s="105">
        <v>77</v>
      </c>
      <c r="DG24" s="183">
        <f t="shared" si="241"/>
        <v>4</v>
      </c>
      <c r="DH24" s="117" t="s">
        <v>57</v>
      </c>
      <c r="DI24" s="390">
        <f t="shared" si="242"/>
        <v>0</v>
      </c>
      <c r="DJ24" s="133" t="s">
        <v>89</v>
      </c>
      <c r="DK24" s="391">
        <f t="shared" si="243"/>
        <v>4</v>
      </c>
      <c r="DL24" s="133" t="s">
        <v>89</v>
      </c>
      <c r="DM24" s="392">
        <f t="shared" si="244"/>
        <v>4</v>
      </c>
      <c r="DN24" s="393" t="s">
        <v>90</v>
      </c>
      <c r="DO24" s="170">
        <f t="shared" si="245"/>
        <v>0</v>
      </c>
      <c r="DP24" s="392" t="s">
        <v>91</v>
      </c>
      <c r="DQ24" s="183">
        <f t="shared" si="246"/>
        <v>0</v>
      </c>
      <c r="DR24" s="149">
        <f>(47.1+47.7+43)/3</f>
        <v>45.933333333333337</v>
      </c>
      <c r="DS24" s="105">
        <f t="shared" si="247"/>
        <v>2</v>
      </c>
      <c r="DT24" s="149">
        <v>66.700000000000003</v>
      </c>
      <c r="DU24" s="105">
        <f t="shared" si="248"/>
        <v>4</v>
      </c>
      <c r="DV24" s="138">
        <v>0</v>
      </c>
      <c r="DW24" s="139">
        <f t="shared" si="249"/>
        <v>-2</v>
      </c>
      <c r="DX24" s="150">
        <v>66.700000000000003</v>
      </c>
      <c r="DY24" s="141">
        <f t="shared" si="250"/>
        <v>4</v>
      </c>
      <c r="DZ24" s="142">
        <f t="shared" si="251"/>
        <v>97</v>
      </c>
      <c r="EA24" s="143">
        <f t="shared" si="252"/>
        <v>20</v>
      </c>
    </row>
    <row r="25">
      <c r="A25" s="104" t="s">
        <v>113</v>
      </c>
      <c r="B25" s="105" t="s">
        <v>89</v>
      </c>
      <c r="C25" s="105">
        <f t="shared" si="191"/>
        <v>4</v>
      </c>
      <c r="D25" s="105" t="s">
        <v>89</v>
      </c>
      <c r="E25" s="105">
        <f t="shared" si="192"/>
        <v>4</v>
      </c>
      <c r="F25" s="105" t="s">
        <v>90</v>
      </c>
      <c r="G25" s="105">
        <f t="shared" si="193"/>
        <v>0</v>
      </c>
      <c r="H25" s="105" t="s">
        <v>91</v>
      </c>
      <c r="I25" s="105">
        <f t="shared" si="194"/>
        <v>1</v>
      </c>
      <c r="J25" s="105" t="s">
        <v>91</v>
      </c>
      <c r="K25" s="105">
        <f t="shared" si="195"/>
        <v>0.5</v>
      </c>
      <c r="L25" s="105" t="s">
        <v>90</v>
      </c>
      <c r="M25" s="105">
        <f t="shared" si="196"/>
        <v>0</v>
      </c>
      <c r="N25" s="105" t="s">
        <v>89</v>
      </c>
      <c r="O25" s="105">
        <f t="shared" si="197"/>
        <v>4</v>
      </c>
      <c r="P25" s="105" t="s">
        <v>89</v>
      </c>
      <c r="Q25" s="105">
        <f t="shared" si="198"/>
        <v>0.5</v>
      </c>
      <c r="R25" s="105" t="s">
        <v>89</v>
      </c>
      <c r="S25" s="105">
        <f t="shared" si="199"/>
        <v>0.5</v>
      </c>
      <c r="T25" s="105" t="s">
        <v>89</v>
      </c>
      <c r="U25" s="105">
        <f t="shared" si="200"/>
        <v>0.5</v>
      </c>
      <c r="V25" s="105" t="s">
        <v>89</v>
      </c>
      <c r="W25" s="105">
        <f t="shared" si="201"/>
        <v>0.5</v>
      </c>
      <c r="X25" s="105" t="s">
        <v>89</v>
      </c>
      <c r="Y25" s="105">
        <f t="shared" si="202"/>
        <v>4</v>
      </c>
      <c r="Z25" s="105" t="s">
        <v>91</v>
      </c>
      <c r="AA25" s="105">
        <f t="shared" si="203"/>
        <v>0.5</v>
      </c>
      <c r="AB25" s="105" t="s">
        <v>89</v>
      </c>
      <c r="AC25" s="105">
        <f t="shared" si="204"/>
        <v>4</v>
      </c>
      <c r="AD25" s="105" t="s">
        <v>89</v>
      </c>
      <c r="AE25" s="105">
        <f t="shared" si="205"/>
        <v>4</v>
      </c>
      <c r="AF25" s="105">
        <v>0</v>
      </c>
      <c r="AG25" s="105">
        <f t="shared" si="206"/>
        <v>0</v>
      </c>
      <c r="AH25" s="105" t="s">
        <v>89</v>
      </c>
      <c r="AI25" s="105">
        <f t="shared" si="207"/>
        <v>4</v>
      </c>
      <c r="AJ25" s="105" t="s">
        <v>90</v>
      </c>
      <c r="AK25" s="105" t="s">
        <v>89</v>
      </c>
      <c r="AL25" s="108" t="s">
        <v>90</v>
      </c>
      <c r="AM25" s="377">
        <f t="shared" si="208"/>
        <v>0</v>
      </c>
      <c r="AN25" s="405">
        <v>50</v>
      </c>
      <c r="AO25" s="379">
        <f t="shared" si="209"/>
        <v>4</v>
      </c>
      <c r="AP25" s="380">
        <v>38</v>
      </c>
      <c r="AQ25" s="379">
        <f t="shared" si="210"/>
        <v>4</v>
      </c>
      <c r="AR25" s="378">
        <v>0.5</v>
      </c>
      <c r="AS25" s="379">
        <f t="shared" ref="AS25:AS38" si="253">IF(AR25&lt;=0.99,-2,IF(AR25&lt;=1.99,0,IF(AR25&gt;=1.99,4)))</f>
        <v>-2</v>
      </c>
      <c r="AT25" s="378">
        <v>2.2000000000000002</v>
      </c>
      <c r="AU25" s="381">
        <f t="shared" si="212"/>
        <v>0</v>
      </c>
      <c r="AV25" s="382">
        <v>9.8000000000000007</v>
      </c>
      <c r="AW25" s="105">
        <f t="shared" si="213"/>
        <v>2</v>
      </c>
      <c r="AX25" s="105" t="s">
        <v>89</v>
      </c>
      <c r="AY25" s="105">
        <f t="shared" si="214"/>
        <v>4</v>
      </c>
      <c r="AZ25" s="105" t="s">
        <v>89</v>
      </c>
      <c r="BA25" s="105">
        <f t="shared" si="215"/>
        <v>0.5</v>
      </c>
      <c r="BB25" s="105" t="s">
        <v>89</v>
      </c>
      <c r="BC25" s="105">
        <f t="shared" si="216"/>
        <v>0.5</v>
      </c>
      <c r="BD25" s="105" t="s">
        <v>89</v>
      </c>
      <c r="BE25" s="105">
        <f t="shared" si="217"/>
        <v>0.5</v>
      </c>
      <c r="BF25" s="105" t="s">
        <v>89</v>
      </c>
      <c r="BG25" s="105">
        <f t="shared" si="218"/>
        <v>0.5</v>
      </c>
      <c r="BH25" s="105" t="s">
        <v>89</v>
      </c>
      <c r="BI25" s="105">
        <f t="shared" si="219"/>
        <v>0.5</v>
      </c>
      <c r="BJ25" s="105" t="s">
        <v>89</v>
      </c>
      <c r="BK25" s="105">
        <f t="shared" si="220"/>
        <v>4</v>
      </c>
      <c r="BL25" s="105" t="s">
        <v>90</v>
      </c>
      <c r="BM25" s="105">
        <f t="shared" si="221"/>
        <v>0</v>
      </c>
      <c r="BN25" s="105" t="s">
        <v>91</v>
      </c>
      <c r="BO25" s="105">
        <f t="shared" si="222"/>
        <v>1</v>
      </c>
      <c r="BP25" s="105" t="s">
        <v>90</v>
      </c>
      <c r="BQ25" s="107">
        <f t="shared" si="223"/>
        <v>0</v>
      </c>
      <c r="BR25" s="378">
        <v>1773</v>
      </c>
      <c r="BS25" s="382">
        <v>1450</v>
      </c>
      <c r="BT25" s="383">
        <f t="shared" si="224"/>
        <v>-2</v>
      </c>
      <c r="BU25" s="117" t="s">
        <v>90</v>
      </c>
      <c r="BV25" s="117">
        <f t="shared" si="225"/>
        <v>0</v>
      </c>
      <c r="BW25" s="117" t="s">
        <v>90</v>
      </c>
      <c r="BX25" s="117">
        <f t="shared" si="226"/>
        <v>0</v>
      </c>
      <c r="BY25" s="117" t="s">
        <v>91</v>
      </c>
      <c r="BZ25" s="117">
        <f t="shared" si="227"/>
        <v>2</v>
      </c>
      <c r="CA25" s="117" t="s">
        <v>90</v>
      </c>
      <c r="CB25" s="117">
        <f t="shared" si="228"/>
        <v>0</v>
      </c>
      <c r="CC25" s="117" t="s">
        <v>91</v>
      </c>
      <c r="CD25" s="117">
        <f t="shared" si="229"/>
        <v>0.5</v>
      </c>
      <c r="CE25" s="117" t="s">
        <v>90</v>
      </c>
      <c r="CF25" s="117">
        <f t="shared" si="230"/>
        <v>0</v>
      </c>
      <c r="CG25" s="384">
        <v>277.13</v>
      </c>
      <c r="CH25" s="119">
        <v>192.66999999999999</v>
      </c>
      <c r="CI25" s="385">
        <f t="shared" si="231"/>
        <v>-2</v>
      </c>
      <c r="CJ25" s="386">
        <v>72154</v>
      </c>
      <c r="CK25" s="386">
        <v>76951.550000000003</v>
      </c>
      <c r="CL25" s="387">
        <f t="shared" si="232"/>
        <v>4</v>
      </c>
      <c r="CM25" s="123" t="s">
        <v>90</v>
      </c>
      <c r="CN25" s="123">
        <f t="shared" si="233"/>
        <v>0</v>
      </c>
      <c r="CO25" s="123" t="s">
        <v>91</v>
      </c>
      <c r="CP25" s="123">
        <f t="shared" si="234"/>
        <v>4</v>
      </c>
      <c r="CQ25" s="123" t="s">
        <v>90</v>
      </c>
      <c r="CR25" s="123">
        <f t="shared" si="235"/>
        <v>0</v>
      </c>
      <c r="CS25" s="123" t="s">
        <v>90</v>
      </c>
      <c r="CT25" s="123">
        <f t="shared" si="236"/>
        <v>0</v>
      </c>
      <c r="CU25" s="121">
        <v>84.563999999999993</v>
      </c>
      <c r="CV25" s="121">
        <v>245.03</v>
      </c>
      <c r="CW25" s="388">
        <f t="shared" si="237"/>
        <v>6</v>
      </c>
      <c r="CX25" s="126">
        <v>119.09999999999999</v>
      </c>
      <c r="CY25" s="107">
        <f t="shared" si="238"/>
        <v>6</v>
      </c>
      <c r="CZ25" s="386">
        <v>814434</v>
      </c>
      <c r="DA25" s="389">
        <v>978638</v>
      </c>
      <c r="DB25" s="105">
        <f t="shared" si="239"/>
        <v>6</v>
      </c>
      <c r="DC25" s="105">
        <v>-2</v>
      </c>
      <c r="DD25" s="105" t="s">
        <v>89</v>
      </c>
      <c r="DE25" s="183">
        <f t="shared" si="240"/>
        <v>4</v>
      </c>
      <c r="DF25" s="157">
        <v>82.200000000000003</v>
      </c>
      <c r="DG25" s="183">
        <f t="shared" si="241"/>
        <v>4</v>
      </c>
      <c r="DH25" s="117" t="s">
        <v>57</v>
      </c>
      <c r="DI25" s="390">
        <f t="shared" si="242"/>
        <v>0</v>
      </c>
      <c r="DJ25" s="133" t="s">
        <v>89</v>
      </c>
      <c r="DK25" s="391">
        <f t="shared" si="243"/>
        <v>4</v>
      </c>
      <c r="DL25" s="133" t="s">
        <v>89</v>
      </c>
      <c r="DM25" s="391">
        <f t="shared" si="244"/>
        <v>4</v>
      </c>
      <c r="DN25" s="170" t="s">
        <v>90</v>
      </c>
      <c r="DO25" s="170">
        <f t="shared" si="245"/>
        <v>0</v>
      </c>
      <c r="DP25" s="170" t="s">
        <v>91</v>
      </c>
      <c r="DQ25" s="170">
        <f t="shared" si="246"/>
        <v>0</v>
      </c>
      <c r="DR25" s="406">
        <f>(62.5+68.3+65.9)/3</f>
        <v>65.566666666666677</v>
      </c>
      <c r="DS25" s="139">
        <f t="shared" si="247"/>
        <v>4</v>
      </c>
      <c r="DT25" s="150">
        <v>66.700000000000003</v>
      </c>
      <c r="DU25" s="139">
        <f t="shared" si="248"/>
        <v>4</v>
      </c>
      <c r="DV25" s="150">
        <v>0</v>
      </c>
      <c r="DW25" s="139">
        <f t="shared" si="249"/>
        <v>-2</v>
      </c>
      <c r="DX25" s="150">
        <v>0</v>
      </c>
      <c r="DY25" s="407">
        <f t="shared" si="250"/>
        <v>-2</v>
      </c>
      <c r="DZ25" s="142">
        <f t="shared" si="251"/>
        <v>94</v>
      </c>
      <c r="EA25" s="194">
        <f t="shared" si="252"/>
        <v>21</v>
      </c>
    </row>
    <row r="26">
      <c r="A26" s="104" t="s">
        <v>110</v>
      </c>
      <c r="B26" s="105" t="s">
        <v>89</v>
      </c>
      <c r="C26" s="105">
        <f t="shared" si="191"/>
        <v>4</v>
      </c>
      <c r="D26" s="105" t="s">
        <v>89</v>
      </c>
      <c r="E26" s="105">
        <f t="shared" si="192"/>
        <v>4</v>
      </c>
      <c r="F26" s="105" t="s">
        <v>91</v>
      </c>
      <c r="G26" s="105">
        <f t="shared" si="193"/>
        <v>0.5</v>
      </c>
      <c r="H26" s="105" t="s">
        <v>90</v>
      </c>
      <c r="I26" s="105">
        <f t="shared" si="194"/>
        <v>0</v>
      </c>
      <c r="J26" s="105" t="s">
        <v>91</v>
      </c>
      <c r="K26" s="105">
        <f t="shared" si="195"/>
        <v>0.5</v>
      </c>
      <c r="L26" s="105" t="s">
        <v>90</v>
      </c>
      <c r="M26" s="105">
        <f t="shared" si="196"/>
        <v>0</v>
      </c>
      <c r="N26" s="105" t="s">
        <v>89</v>
      </c>
      <c r="O26" s="105">
        <f t="shared" si="197"/>
        <v>4</v>
      </c>
      <c r="P26" s="105" t="s">
        <v>89</v>
      </c>
      <c r="Q26" s="105">
        <f t="shared" si="198"/>
        <v>0.5</v>
      </c>
      <c r="R26" s="105" t="s">
        <v>89</v>
      </c>
      <c r="S26" s="105">
        <f t="shared" si="199"/>
        <v>0.5</v>
      </c>
      <c r="T26" s="105" t="s">
        <v>89</v>
      </c>
      <c r="U26" s="105">
        <f t="shared" si="200"/>
        <v>0.5</v>
      </c>
      <c r="V26" s="105" t="s">
        <v>89</v>
      </c>
      <c r="W26" s="105">
        <f t="shared" si="201"/>
        <v>0.5</v>
      </c>
      <c r="X26" s="105" t="s">
        <v>89</v>
      </c>
      <c r="Y26" s="105">
        <f t="shared" si="202"/>
        <v>4</v>
      </c>
      <c r="Z26" s="105" t="s">
        <v>91</v>
      </c>
      <c r="AA26" s="105">
        <f t="shared" si="203"/>
        <v>0.5</v>
      </c>
      <c r="AB26" s="105" t="s">
        <v>89</v>
      </c>
      <c r="AC26" s="105">
        <f t="shared" si="204"/>
        <v>4</v>
      </c>
      <c r="AD26" s="105" t="s">
        <v>89</v>
      </c>
      <c r="AE26" s="105">
        <f t="shared" si="205"/>
        <v>4</v>
      </c>
      <c r="AF26" s="105">
        <v>7</v>
      </c>
      <c r="AG26" s="105">
        <f t="shared" si="206"/>
        <v>7</v>
      </c>
      <c r="AH26" s="105" t="s">
        <v>89</v>
      </c>
      <c r="AI26" s="105">
        <f t="shared" si="207"/>
        <v>4</v>
      </c>
      <c r="AJ26" s="105" t="s">
        <v>57</v>
      </c>
      <c r="AK26" s="105" t="s">
        <v>90</v>
      </c>
      <c r="AL26" s="108" t="s">
        <v>90</v>
      </c>
      <c r="AM26" s="377">
        <f t="shared" si="208"/>
        <v>4</v>
      </c>
      <c r="AN26" s="378">
        <v>92.200000000000003</v>
      </c>
      <c r="AO26" s="379">
        <f t="shared" si="209"/>
        <v>4</v>
      </c>
      <c r="AP26" s="380">
        <v>64.400000000000006</v>
      </c>
      <c r="AQ26" s="379">
        <f t="shared" si="210"/>
        <v>4</v>
      </c>
      <c r="AR26" s="378">
        <v>1.5</v>
      </c>
      <c r="AS26" s="379">
        <f t="shared" si="253"/>
        <v>0</v>
      </c>
      <c r="AT26" s="378">
        <v>2</v>
      </c>
      <c r="AU26" s="381">
        <f t="shared" si="212"/>
        <v>0</v>
      </c>
      <c r="AV26" s="382">
        <v>11.1</v>
      </c>
      <c r="AW26" s="105">
        <f t="shared" si="213"/>
        <v>0</v>
      </c>
      <c r="AX26" s="105" t="s">
        <v>89</v>
      </c>
      <c r="AY26" s="105">
        <f t="shared" si="214"/>
        <v>4</v>
      </c>
      <c r="AZ26" s="105" t="s">
        <v>89</v>
      </c>
      <c r="BA26" s="105">
        <f t="shared" si="215"/>
        <v>0.5</v>
      </c>
      <c r="BB26" s="105" t="s">
        <v>89</v>
      </c>
      <c r="BC26" s="105">
        <f t="shared" si="216"/>
        <v>0.5</v>
      </c>
      <c r="BD26" s="105" t="s">
        <v>89</v>
      </c>
      <c r="BE26" s="105">
        <f t="shared" si="217"/>
        <v>0.5</v>
      </c>
      <c r="BF26" s="105" t="s">
        <v>89</v>
      </c>
      <c r="BG26" s="105">
        <f t="shared" si="218"/>
        <v>0.5</v>
      </c>
      <c r="BH26" s="105" t="s">
        <v>89</v>
      </c>
      <c r="BI26" s="105">
        <f t="shared" si="219"/>
        <v>0.5</v>
      </c>
      <c r="BJ26" s="105" t="s">
        <v>89</v>
      </c>
      <c r="BK26" s="105">
        <f t="shared" si="220"/>
        <v>4</v>
      </c>
      <c r="BL26" s="105" t="s">
        <v>90</v>
      </c>
      <c r="BM26" s="105">
        <f t="shared" si="221"/>
        <v>0</v>
      </c>
      <c r="BN26" s="105" t="s">
        <v>91</v>
      </c>
      <c r="BO26" s="105">
        <f t="shared" si="222"/>
        <v>1</v>
      </c>
      <c r="BP26" s="105" t="s">
        <v>90</v>
      </c>
      <c r="BQ26" s="107">
        <f t="shared" si="223"/>
        <v>0</v>
      </c>
      <c r="BR26" s="378">
        <v>1830.0999999999999</v>
      </c>
      <c r="BS26" s="382">
        <v>1121.0999999999999</v>
      </c>
      <c r="BT26" s="383">
        <f t="shared" si="224"/>
        <v>-2</v>
      </c>
      <c r="BU26" s="178" t="s">
        <v>90</v>
      </c>
      <c r="BV26" s="178">
        <f t="shared" si="225"/>
        <v>0</v>
      </c>
      <c r="BW26" s="178" t="s">
        <v>90</v>
      </c>
      <c r="BX26" s="178">
        <f t="shared" si="226"/>
        <v>0</v>
      </c>
      <c r="BY26" s="178" t="s">
        <v>91</v>
      </c>
      <c r="BZ26" s="178">
        <f t="shared" si="227"/>
        <v>2</v>
      </c>
      <c r="CA26" s="178" t="s">
        <v>90</v>
      </c>
      <c r="CB26" s="178">
        <f t="shared" si="228"/>
        <v>0</v>
      </c>
      <c r="CC26" s="117" t="s">
        <v>90</v>
      </c>
      <c r="CD26" s="117">
        <f t="shared" si="229"/>
        <v>0</v>
      </c>
      <c r="CE26" s="117" t="s">
        <v>90</v>
      </c>
      <c r="CF26" s="117">
        <f t="shared" si="230"/>
        <v>0</v>
      </c>
      <c r="CG26" s="384">
        <v>277.13</v>
      </c>
      <c r="CH26" s="119">
        <v>220</v>
      </c>
      <c r="CI26" s="385">
        <f t="shared" si="231"/>
        <v>-2</v>
      </c>
      <c r="CJ26" s="386">
        <v>212334</v>
      </c>
      <c r="CK26" s="386">
        <v>170005.14999999999</v>
      </c>
      <c r="CL26" s="387">
        <f t="shared" si="232"/>
        <v>-2</v>
      </c>
      <c r="CM26" s="123" t="s">
        <v>90</v>
      </c>
      <c r="CN26" s="123">
        <f t="shared" si="233"/>
        <v>0</v>
      </c>
      <c r="CO26" s="123" t="s">
        <v>90</v>
      </c>
      <c r="CP26" s="123">
        <f t="shared" si="234"/>
        <v>0</v>
      </c>
      <c r="CQ26" s="123" t="s">
        <v>91</v>
      </c>
      <c r="CR26" s="123">
        <f t="shared" si="235"/>
        <v>0</v>
      </c>
      <c r="CS26" s="123" t="s">
        <v>90</v>
      </c>
      <c r="CT26" s="123">
        <f t="shared" si="236"/>
        <v>0</v>
      </c>
      <c r="CU26" s="146">
        <v>37.399999999999999</v>
      </c>
      <c r="CV26" s="121">
        <v>37.119999999999997</v>
      </c>
      <c r="CW26" s="388">
        <f t="shared" si="237"/>
        <v>-2</v>
      </c>
      <c r="CX26" s="147">
        <v>114.8</v>
      </c>
      <c r="CY26" s="107">
        <f t="shared" si="238"/>
        <v>6</v>
      </c>
      <c r="CZ26" s="386">
        <v>262936</v>
      </c>
      <c r="DA26" s="389">
        <v>320517</v>
      </c>
      <c r="DB26" s="105">
        <f t="shared" si="239"/>
        <v>6</v>
      </c>
      <c r="DC26" s="105">
        <v>4</v>
      </c>
      <c r="DD26" s="105" t="s">
        <v>89</v>
      </c>
      <c r="DE26" s="183">
        <f t="shared" si="240"/>
        <v>4</v>
      </c>
      <c r="DF26" s="105">
        <v>84</v>
      </c>
      <c r="DG26" s="183">
        <f t="shared" si="241"/>
        <v>4</v>
      </c>
      <c r="DH26" s="117" t="s">
        <v>57</v>
      </c>
      <c r="DI26" s="390">
        <f t="shared" si="242"/>
        <v>0</v>
      </c>
      <c r="DJ26" s="133" t="s">
        <v>57</v>
      </c>
      <c r="DK26" s="391">
        <f t="shared" si="243"/>
        <v>0</v>
      </c>
      <c r="DL26" s="133" t="s">
        <v>89</v>
      </c>
      <c r="DM26" s="391">
        <f t="shared" si="244"/>
        <v>4</v>
      </c>
      <c r="DN26" s="170" t="s">
        <v>90</v>
      </c>
      <c r="DO26" s="170">
        <f t="shared" si="245"/>
        <v>0</v>
      </c>
      <c r="DP26" s="170" t="s">
        <v>91</v>
      </c>
      <c r="DQ26" s="170">
        <f t="shared" si="246"/>
        <v>0</v>
      </c>
      <c r="DR26" s="406">
        <f>(53.3+56.5+52.2)/3</f>
        <v>54</v>
      </c>
      <c r="DS26" s="139">
        <f t="shared" si="247"/>
        <v>4</v>
      </c>
      <c r="DT26" s="150">
        <v>100</v>
      </c>
      <c r="DU26" s="139">
        <f t="shared" si="248"/>
        <v>4</v>
      </c>
      <c r="DV26" s="150">
        <v>0</v>
      </c>
      <c r="DW26" s="139">
        <f t="shared" si="249"/>
        <v>-2</v>
      </c>
      <c r="DX26" s="150">
        <v>100</v>
      </c>
      <c r="DY26" s="407">
        <f t="shared" si="250"/>
        <v>4</v>
      </c>
      <c r="DZ26" s="142">
        <f t="shared" si="251"/>
        <v>94</v>
      </c>
      <c r="EA26" s="194">
        <f t="shared" si="252"/>
        <v>21</v>
      </c>
    </row>
    <row r="27">
      <c r="A27" s="104" t="s">
        <v>112</v>
      </c>
      <c r="B27" s="105" t="s">
        <v>89</v>
      </c>
      <c r="C27" s="105">
        <f t="shared" si="191"/>
        <v>4</v>
      </c>
      <c r="D27" s="105" t="s">
        <v>89</v>
      </c>
      <c r="E27" s="105">
        <f t="shared" si="192"/>
        <v>4</v>
      </c>
      <c r="F27" s="105" t="s">
        <v>90</v>
      </c>
      <c r="G27" s="105">
        <f t="shared" si="193"/>
        <v>0</v>
      </c>
      <c r="H27" s="105" t="s">
        <v>91</v>
      </c>
      <c r="I27" s="105">
        <f t="shared" si="194"/>
        <v>1</v>
      </c>
      <c r="J27" s="105" t="s">
        <v>91</v>
      </c>
      <c r="K27" s="105">
        <f t="shared" si="195"/>
        <v>0.5</v>
      </c>
      <c r="L27" s="105" t="s">
        <v>90</v>
      </c>
      <c r="M27" s="105">
        <f t="shared" si="196"/>
        <v>0</v>
      </c>
      <c r="N27" s="105" t="s">
        <v>89</v>
      </c>
      <c r="O27" s="105">
        <f t="shared" si="197"/>
        <v>4</v>
      </c>
      <c r="P27" s="105" t="s">
        <v>89</v>
      </c>
      <c r="Q27" s="105">
        <f t="shared" si="198"/>
        <v>0.5</v>
      </c>
      <c r="R27" s="105" t="s">
        <v>57</v>
      </c>
      <c r="S27" s="105">
        <f t="shared" si="199"/>
        <v>0</v>
      </c>
      <c r="T27" s="105" t="s">
        <v>89</v>
      </c>
      <c r="U27" s="105">
        <f t="shared" si="200"/>
        <v>0.5</v>
      </c>
      <c r="V27" s="105" t="s">
        <v>89</v>
      </c>
      <c r="W27" s="105">
        <f t="shared" si="201"/>
        <v>0.5</v>
      </c>
      <c r="X27" s="105" t="s">
        <v>89</v>
      </c>
      <c r="Y27" s="105">
        <f t="shared" si="202"/>
        <v>4</v>
      </c>
      <c r="Z27" s="105" t="s">
        <v>91</v>
      </c>
      <c r="AA27" s="105">
        <f t="shared" si="203"/>
        <v>0.5</v>
      </c>
      <c r="AB27" s="105" t="s">
        <v>89</v>
      </c>
      <c r="AC27" s="105">
        <f t="shared" si="204"/>
        <v>4</v>
      </c>
      <c r="AD27" s="105" t="s">
        <v>89</v>
      </c>
      <c r="AE27" s="105">
        <f t="shared" si="205"/>
        <v>4</v>
      </c>
      <c r="AF27" s="105">
        <v>1</v>
      </c>
      <c r="AG27" s="105">
        <f t="shared" si="206"/>
        <v>1</v>
      </c>
      <c r="AH27" s="105" t="s">
        <v>89</v>
      </c>
      <c r="AI27" s="105">
        <f t="shared" si="207"/>
        <v>4</v>
      </c>
      <c r="AJ27" s="105" t="s">
        <v>57</v>
      </c>
      <c r="AK27" s="105" t="s">
        <v>90</v>
      </c>
      <c r="AL27" s="108" t="s">
        <v>90</v>
      </c>
      <c r="AM27" s="377">
        <f t="shared" si="208"/>
        <v>4</v>
      </c>
      <c r="AN27" s="378">
        <v>0</v>
      </c>
      <c r="AO27" s="379">
        <f t="shared" si="209"/>
        <v>-2</v>
      </c>
      <c r="AP27" s="380">
        <v>57.100000000000001</v>
      </c>
      <c r="AQ27" s="379">
        <f t="shared" si="210"/>
        <v>4</v>
      </c>
      <c r="AR27" s="405">
        <v>0</v>
      </c>
      <c r="AS27" s="379">
        <f t="shared" si="253"/>
        <v>-2</v>
      </c>
      <c r="AT27" s="378">
        <v>1.6000000000000001</v>
      </c>
      <c r="AU27" s="381">
        <f t="shared" si="212"/>
        <v>0</v>
      </c>
      <c r="AV27" s="382">
        <v>2.6000000000000001</v>
      </c>
      <c r="AW27" s="105">
        <f t="shared" si="213"/>
        <v>2</v>
      </c>
      <c r="AX27" s="105" t="s">
        <v>89</v>
      </c>
      <c r="AY27" s="105">
        <f t="shared" si="214"/>
        <v>4</v>
      </c>
      <c r="AZ27" s="105" t="s">
        <v>89</v>
      </c>
      <c r="BA27" s="105">
        <f t="shared" si="215"/>
        <v>0.5</v>
      </c>
      <c r="BB27" s="105" t="s">
        <v>89</v>
      </c>
      <c r="BC27" s="105">
        <f t="shared" si="216"/>
        <v>0.5</v>
      </c>
      <c r="BD27" s="105" t="s">
        <v>89</v>
      </c>
      <c r="BE27" s="105">
        <f t="shared" si="217"/>
        <v>0.5</v>
      </c>
      <c r="BF27" s="105" t="s">
        <v>89</v>
      </c>
      <c r="BG27" s="105">
        <f t="shared" si="218"/>
        <v>0.5</v>
      </c>
      <c r="BH27" s="105" t="s">
        <v>57</v>
      </c>
      <c r="BI27" s="105">
        <f t="shared" si="219"/>
        <v>0</v>
      </c>
      <c r="BJ27" s="105" t="s">
        <v>89</v>
      </c>
      <c r="BK27" s="105">
        <f t="shared" si="220"/>
        <v>4</v>
      </c>
      <c r="BL27" s="105" t="s">
        <v>91</v>
      </c>
      <c r="BM27" s="105">
        <f t="shared" si="221"/>
        <v>0.5</v>
      </c>
      <c r="BN27" s="105" t="s">
        <v>90</v>
      </c>
      <c r="BO27" s="105">
        <f t="shared" si="222"/>
        <v>0</v>
      </c>
      <c r="BP27" s="105" t="s">
        <v>90</v>
      </c>
      <c r="BQ27" s="107">
        <f t="shared" si="223"/>
        <v>0</v>
      </c>
      <c r="BR27" s="378">
        <v>335.09999999999997</v>
      </c>
      <c r="BS27" s="382">
        <v>356.19999999999999</v>
      </c>
      <c r="BT27" s="383">
        <f t="shared" si="224"/>
        <v>4</v>
      </c>
      <c r="BU27" s="117" t="s">
        <v>90</v>
      </c>
      <c r="BV27" s="117">
        <f t="shared" si="225"/>
        <v>0</v>
      </c>
      <c r="BW27" s="117" t="s">
        <v>90</v>
      </c>
      <c r="BX27" s="117">
        <f t="shared" si="226"/>
        <v>0</v>
      </c>
      <c r="BY27" s="117" t="s">
        <v>90</v>
      </c>
      <c r="BZ27" s="117">
        <f t="shared" si="227"/>
        <v>0</v>
      </c>
      <c r="CA27" s="117" t="s">
        <v>91</v>
      </c>
      <c r="CB27" s="117">
        <f t="shared" si="228"/>
        <v>0</v>
      </c>
      <c r="CC27" s="117" t="s">
        <v>90</v>
      </c>
      <c r="CD27" s="117">
        <f t="shared" si="229"/>
        <v>0</v>
      </c>
      <c r="CE27" s="117" t="s">
        <v>90</v>
      </c>
      <c r="CF27" s="117">
        <f t="shared" si="230"/>
        <v>0</v>
      </c>
      <c r="CG27" s="384">
        <v>277.13</v>
      </c>
      <c r="CH27" s="119">
        <v>184.25999999999999</v>
      </c>
      <c r="CI27" s="385">
        <f t="shared" si="231"/>
        <v>-2</v>
      </c>
      <c r="CJ27" s="386">
        <v>54565</v>
      </c>
      <c r="CK27" s="386">
        <v>55550.059999999998</v>
      </c>
      <c r="CL27" s="387">
        <f t="shared" si="232"/>
        <v>2</v>
      </c>
      <c r="CM27" s="123" t="s">
        <v>90</v>
      </c>
      <c r="CN27" s="123">
        <f t="shared" si="233"/>
        <v>0</v>
      </c>
      <c r="CO27" s="123" t="s">
        <v>90</v>
      </c>
      <c r="CP27" s="123">
        <f t="shared" si="234"/>
        <v>0</v>
      </c>
      <c r="CQ27" s="123" t="s">
        <v>91</v>
      </c>
      <c r="CR27" s="123">
        <f t="shared" si="235"/>
        <v>0</v>
      </c>
      <c r="CS27" s="123" t="s">
        <v>90</v>
      </c>
      <c r="CT27" s="123">
        <f t="shared" si="236"/>
        <v>0</v>
      </c>
      <c r="CU27" s="121">
        <v>407.51999999999998</v>
      </c>
      <c r="CV27" s="121">
        <v>127.06</v>
      </c>
      <c r="CW27" s="388">
        <f t="shared" si="237"/>
        <v>-2</v>
      </c>
      <c r="CX27" s="147">
        <v>120.7</v>
      </c>
      <c r="CY27" s="107">
        <f t="shared" si="238"/>
        <v>6</v>
      </c>
      <c r="CZ27" s="386">
        <v>242326</v>
      </c>
      <c r="DA27" s="389">
        <v>263438</v>
      </c>
      <c r="DB27" s="105">
        <f t="shared" si="239"/>
        <v>6</v>
      </c>
      <c r="DC27" s="105">
        <v>4</v>
      </c>
      <c r="DD27" s="105" t="s">
        <v>89</v>
      </c>
      <c r="DE27" s="183">
        <f t="shared" si="240"/>
        <v>4</v>
      </c>
      <c r="DF27" s="157">
        <v>69.400000000000006</v>
      </c>
      <c r="DG27" s="183">
        <f t="shared" si="241"/>
        <v>4</v>
      </c>
      <c r="DH27" s="117" t="s">
        <v>57</v>
      </c>
      <c r="DI27" s="390">
        <f t="shared" si="242"/>
        <v>0</v>
      </c>
      <c r="DJ27" s="133" t="s">
        <v>89</v>
      </c>
      <c r="DK27" s="391">
        <f t="shared" si="243"/>
        <v>4</v>
      </c>
      <c r="DL27" s="133" t="s">
        <v>89</v>
      </c>
      <c r="DM27" s="391">
        <f t="shared" si="244"/>
        <v>4</v>
      </c>
      <c r="DN27" s="170" t="s">
        <v>90</v>
      </c>
      <c r="DO27" s="170">
        <f t="shared" si="245"/>
        <v>0</v>
      </c>
      <c r="DP27" s="170" t="s">
        <v>91</v>
      </c>
      <c r="DQ27" s="170">
        <f t="shared" si="246"/>
        <v>0</v>
      </c>
      <c r="DR27" s="406">
        <f>(35.5+30.2+33.3)/3</f>
        <v>33</v>
      </c>
      <c r="DS27" s="139">
        <f t="shared" si="247"/>
        <v>2</v>
      </c>
      <c r="DT27" s="150">
        <v>50</v>
      </c>
      <c r="DU27" s="139">
        <f t="shared" si="248"/>
        <v>4</v>
      </c>
      <c r="DV27" s="150">
        <v>33</v>
      </c>
      <c r="DW27" s="139">
        <f t="shared" si="249"/>
        <v>1</v>
      </c>
      <c r="DX27" s="150">
        <v>25</v>
      </c>
      <c r="DY27" s="407">
        <f t="shared" si="250"/>
        <v>1</v>
      </c>
      <c r="DZ27" s="142">
        <f t="shared" si="251"/>
        <v>91</v>
      </c>
      <c r="EA27" s="194">
        <f t="shared" si="252"/>
        <v>23</v>
      </c>
    </row>
    <row r="28">
      <c r="A28" s="408" t="s">
        <v>116</v>
      </c>
      <c r="B28" s="105" t="s">
        <v>89</v>
      </c>
      <c r="C28" s="400">
        <f t="shared" si="191"/>
        <v>4</v>
      </c>
      <c r="D28" s="105" t="s">
        <v>89</v>
      </c>
      <c r="E28" s="400">
        <f t="shared" si="192"/>
        <v>4</v>
      </c>
      <c r="F28" s="400" t="s">
        <v>90</v>
      </c>
      <c r="G28" s="400">
        <f t="shared" si="193"/>
        <v>0</v>
      </c>
      <c r="H28" s="400" t="s">
        <v>91</v>
      </c>
      <c r="I28" s="400">
        <f t="shared" si="194"/>
        <v>1</v>
      </c>
      <c r="J28" s="400" t="s">
        <v>91</v>
      </c>
      <c r="K28" s="400">
        <f t="shared" si="195"/>
        <v>0.5</v>
      </c>
      <c r="L28" s="400" t="s">
        <v>90</v>
      </c>
      <c r="M28" s="400">
        <f t="shared" si="196"/>
        <v>0</v>
      </c>
      <c r="N28" s="105" t="s">
        <v>89</v>
      </c>
      <c r="O28" s="400">
        <f t="shared" si="197"/>
        <v>4</v>
      </c>
      <c r="P28" s="105" t="s">
        <v>89</v>
      </c>
      <c r="Q28" s="400">
        <f t="shared" si="198"/>
        <v>0.5</v>
      </c>
      <c r="R28" s="105" t="s">
        <v>89</v>
      </c>
      <c r="S28" s="400">
        <f t="shared" si="199"/>
        <v>0.5</v>
      </c>
      <c r="T28" s="105" t="s">
        <v>89</v>
      </c>
      <c r="U28" s="400">
        <f t="shared" si="200"/>
        <v>0.5</v>
      </c>
      <c r="V28" s="105" t="s">
        <v>89</v>
      </c>
      <c r="W28" s="400">
        <f t="shared" si="201"/>
        <v>0.5</v>
      </c>
      <c r="X28" s="105" t="s">
        <v>89</v>
      </c>
      <c r="Y28" s="400">
        <f t="shared" si="202"/>
        <v>4</v>
      </c>
      <c r="Z28" s="400" t="s">
        <v>91</v>
      </c>
      <c r="AA28" s="400">
        <f t="shared" si="203"/>
        <v>0.5</v>
      </c>
      <c r="AB28" s="105" t="s">
        <v>89</v>
      </c>
      <c r="AC28" s="400">
        <f t="shared" si="204"/>
        <v>4</v>
      </c>
      <c r="AD28" s="105" t="s">
        <v>89</v>
      </c>
      <c r="AE28" s="400">
        <f t="shared" si="205"/>
        <v>4</v>
      </c>
      <c r="AF28" s="400">
        <v>1</v>
      </c>
      <c r="AG28" s="400">
        <f t="shared" si="206"/>
        <v>1</v>
      </c>
      <c r="AH28" s="105" t="s">
        <v>89</v>
      </c>
      <c r="AI28" s="400">
        <f t="shared" si="207"/>
        <v>4</v>
      </c>
      <c r="AJ28" s="105" t="s">
        <v>57</v>
      </c>
      <c r="AK28" s="105" t="s">
        <v>90</v>
      </c>
      <c r="AL28" s="108" t="s">
        <v>90</v>
      </c>
      <c r="AM28" s="377">
        <f t="shared" si="208"/>
        <v>4</v>
      </c>
      <c r="AN28" s="378">
        <v>55.299999999999997</v>
      </c>
      <c r="AO28" s="379">
        <f t="shared" si="209"/>
        <v>4</v>
      </c>
      <c r="AP28" s="380">
        <v>65.599999999999994</v>
      </c>
      <c r="AQ28" s="409">
        <f t="shared" si="210"/>
        <v>4</v>
      </c>
      <c r="AR28" s="378">
        <v>0.69999999999999996</v>
      </c>
      <c r="AS28" s="379">
        <f t="shared" si="253"/>
        <v>-2</v>
      </c>
      <c r="AT28" s="378">
        <v>2.2999999999999998</v>
      </c>
      <c r="AU28" s="410">
        <f t="shared" si="212"/>
        <v>0</v>
      </c>
      <c r="AV28" s="382">
        <v>13.9</v>
      </c>
      <c r="AW28" s="400">
        <f t="shared" si="213"/>
        <v>0</v>
      </c>
      <c r="AX28" s="105" t="s">
        <v>89</v>
      </c>
      <c r="AY28" s="400">
        <f t="shared" si="214"/>
        <v>4</v>
      </c>
      <c r="AZ28" s="105" t="s">
        <v>89</v>
      </c>
      <c r="BA28" s="400">
        <f t="shared" si="215"/>
        <v>0.5</v>
      </c>
      <c r="BB28" s="105" t="s">
        <v>89</v>
      </c>
      <c r="BC28" s="400">
        <f t="shared" si="216"/>
        <v>0.5</v>
      </c>
      <c r="BD28" s="105" t="s">
        <v>89</v>
      </c>
      <c r="BE28" s="400">
        <f t="shared" si="217"/>
        <v>0.5</v>
      </c>
      <c r="BF28" s="105" t="s">
        <v>89</v>
      </c>
      <c r="BG28" s="400">
        <f t="shared" si="218"/>
        <v>0.5</v>
      </c>
      <c r="BH28" s="105" t="s">
        <v>89</v>
      </c>
      <c r="BI28" s="400">
        <f t="shared" si="219"/>
        <v>0.5</v>
      </c>
      <c r="BJ28" s="105" t="s">
        <v>89</v>
      </c>
      <c r="BK28" s="400">
        <f t="shared" si="220"/>
        <v>4</v>
      </c>
      <c r="BL28" s="400" t="s">
        <v>90</v>
      </c>
      <c r="BM28" s="105">
        <f t="shared" si="221"/>
        <v>0</v>
      </c>
      <c r="BN28" s="400" t="s">
        <v>91</v>
      </c>
      <c r="BO28" s="400">
        <f t="shared" si="222"/>
        <v>1</v>
      </c>
      <c r="BP28" s="400" t="s">
        <v>90</v>
      </c>
      <c r="BQ28" s="411">
        <f t="shared" si="223"/>
        <v>0</v>
      </c>
      <c r="BR28" s="378">
        <v>1550.8999999999999</v>
      </c>
      <c r="BS28" s="382">
        <v>1227.3</v>
      </c>
      <c r="BT28" s="383">
        <f t="shared" si="224"/>
        <v>-2</v>
      </c>
      <c r="BU28" s="117" t="s">
        <v>90</v>
      </c>
      <c r="BV28" s="117">
        <f t="shared" si="225"/>
        <v>0</v>
      </c>
      <c r="BW28" s="117" t="s">
        <v>90</v>
      </c>
      <c r="BX28" s="117">
        <f t="shared" si="226"/>
        <v>0</v>
      </c>
      <c r="BY28" s="117" t="s">
        <v>90</v>
      </c>
      <c r="BZ28" s="117">
        <f t="shared" si="227"/>
        <v>0</v>
      </c>
      <c r="CA28" s="117" t="s">
        <v>91</v>
      </c>
      <c r="CB28" s="117">
        <f t="shared" si="228"/>
        <v>0</v>
      </c>
      <c r="CC28" s="117" t="s">
        <v>91</v>
      </c>
      <c r="CD28" s="117">
        <f t="shared" si="229"/>
        <v>0.5</v>
      </c>
      <c r="CE28" s="117" t="s">
        <v>90</v>
      </c>
      <c r="CF28" s="117">
        <f t="shared" si="230"/>
        <v>0</v>
      </c>
      <c r="CG28" s="384">
        <v>277.13</v>
      </c>
      <c r="CH28" s="119">
        <v>324.82999999999998</v>
      </c>
      <c r="CI28" s="412">
        <f t="shared" si="231"/>
        <v>4</v>
      </c>
      <c r="CJ28" s="386">
        <v>122744</v>
      </c>
      <c r="CK28" s="386">
        <v>176315.48000000001</v>
      </c>
      <c r="CL28" s="413">
        <f t="shared" si="232"/>
        <v>4</v>
      </c>
      <c r="CM28" s="123" t="s">
        <v>90</v>
      </c>
      <c r="CN28" s="123">
        <f t="shared" si="233"/>
        <v>0</v>
      </c>
      <c r="CO28" s="123" t="s">
        <v>90</v>
      </c>
      <c r="CP28" s="123">
        <f t="shared" si="234"/>
        <v>0</v>
      </c>
      <c r="CQ28" s="123" t="s">
        <v>91</v>
      </c>
      <c r="CR28" s="123">
        <f t="shared" si="235"/>
        <v>0</v>
      </c>
      <c r="CS28" s="123" t="s">
        <v>90</v>
      </c>
      <c r="CT28" s="123">
        <f t="shared" si="236"/>
        <v>0</v>
      </c>
      <c r="CU28" s="146">
        <v>2014.617</v>
      </c>
      <c r="CV28" s="121">
        <v>433.77999999999997</v>
      </c>
      <c r="CW28" s="414">
        <f t="shared" si="237"/>
        <v>-2</v>
      </c>
      <c r="CX28" s="126">
        <v>119</v>
      </c>
      <c r="CY28" s="107">
        <f t="shared" si="238"/>
        <v>6</v>
      </c>
      <c r="CZ28" s="386">
        <v>840853</v>
      </c>
      <c r="DA28" s="389">
        <v>1148693</v>
      </c>
      <c r="DB28" s="105">
        <f t="shared" si="239"/>
        <v>6</v>
      </c>
      <c r="DC28" s="400">
        <v>0</v>
      </c>
      <c r="DD28" s="105" t="s">
        <v>89</v>
      </c>
      <c r="DE28" s="399">
        <f t="shared" si="240"/>
        <v>4</v>
      </c>
      <c r="DF28" s="157">
        <v>74.400000000000006</v>
      </c>
      <c r="DG28" s="399">
        <f t="shared" si="241"/>
        <v>4</v>
      </c>
      <c r="DH28" s="117" t="s">
        <v>57</v>
      </c>
      <c r="DI28" s="390">
        <f t="shared" si="242"/>
        <v>0</v>
      </c>
      <c r="DJ28" s="133" t="s">
        <v>89</v>
      </c>
      <c r="DK28" s="415">
        <f t="shared" si="243"/>
        <v>4</v>
      </c>
      <c r="DL28" s="133" t="s">
        <v>89</v>
      </c>
      <c r="DM28" s="415">
        <f t="shared" si="244"/>
        <v>4</v>
      </c>
      <c r="DN28" s="170" t="s">
        <v>90</v>
      </c>
      <c r="DO28" s="170">
        <f t="shared" si="245"/>
        <v>0</v>
      </c>
      <c r="DP28" s="170" t="s">
        <v>91</v>
      </c>
      <c r="DQ28" s="170">
        <f t="shared" si="246"/>
        <v>0</v>
      </c>
      <c r="DR28" s="406">
        <f>(59.3+63.6+54.5)/3</f>
        <v>59.133333333333333</v>
      </c>
      <c r="DS28" s="139">
        <f t="shared" si="247"/>
        <v>4</v>
      </c>
      <c r="DT28" s="150">
        <v>33</v>
      </c>
      <c r="DU28" s="139">
        <f t="shared" si="248"/>
        <v>2</v>
      </c>
      <c r="DV28" s="150">
        <v>0</v>
      </c>
      <c r="DW28" s="139">
        <f t="shared" si="249"/>
        <v>-2</v>
      </c>
      <c r="DX28" s="150">
        <v>0</v>
      </c>
      <c r="DY28" s="407">
        <f t="shared" si="250"/>
        <v>-2</v>
      </c>
      <c r="DZ28" s="142">
        <f t="shared" si="251"/>
        <v>89</v>
      </c>
      <c r="EA28" s="194">
        <f t="shared" si="252"/>
        <v>24</v>
      </c>
    </row>
    <row r="29">
      <c r="A29" s="161" t="s">
        <v>115</v>
      </c>
      <c r="B29" s="416" t="s">
        <v>89</v>
      </c>
      <c r="C29" s="407">
        <f t="shared" si="191"/>
        <v>4</v>
      </c>
      <c r="D29" s="416" t="s">
        <v>89</v>
      </c>
      <c r="E29" s="139">
        <f t="shared" si="192"/>
        <v>4</v>
      </c>
      <c r="F29" s="139" t="s">
        <v>90</v>
      </c>
      <c r="G29" s="139">
        <f t="shared" si="193"/>
        <v>0</v>
      </c>
      <c r="H29" s="139" t="s">
        <v>91</v>
      </c>
      <c r="I29" s="139">
        <f t="shared" si="194"/>
        <v>1</v>
      </c>
      <c r="J29" s="139" t="s">
        <v>91</v>
      </c>
      <c r="K29" s="139">
        <f t="shared" si="195"/>
        <v>0.5</v>
      </c>
      <c r="L29" s="139" t="s">
        <v>90</v>
      </c>
      <c r="M29" s="407">
        <f t="shared" si="196"/>
        <v>0</v>
      </c>
      <c r="N29" s="105" t="s">
        <v>89</v>
      </c>
      <c r="O29" s="162">
        <f t="shared" si="197"/>
        <v>4</v>
      </c>
      <c r="P29" s="105" t="s">
        <v>89</v>
      </c>
      <c r="Q29" s="377">
        <f t="shared" si="198"/>
        <v>0.5</v>
      </c>
      <c r="R29" s="412" t="s">
        <v>89</v>
      </c>
      <c r="S29" s="407">
        <f t="shared" si="199"/>
        <v>0.5</v>
      </c>
      <c r="T29" s="105" t="s">
        <v>89</v>
      </c>
      <c r="U29" s="162">
        <f t="shared" si="200"/>
        <v>0.5</v>
      </c>
      <c r="V29" s="105" t="s">
        <v>89</v>
      </c>
      <c r="W29" s="162">
        <f t="shared" si="201"/>
        <v>0.5</v>
      </c>
      <c r="X29" s="105" t="s">
        <v>89</v>
      </c>
      <c r="Y29" s="377">
        <f t="shared" si="202"/>
        <v>4</v>
      </c>
      <c r="Z29" s="139" t="s">
        <v>91</v>
      </c>
      <c r="AA29" s="407">
        <f t="shared" si="203"/>
        <v>0.5</v>
      </c>
      <c r="AB29" s="105" t="s">
        <v>89</v>
      </c>
      <c r="AC29" s="162">
        <f t="shared" si="204"/>
        <v>4</v>
      </c>
      <c r="AD29" s="416" t="s">
        <v>89</v>
      </c>
      <c r="AE29" s="139">
        <f t="shared" si="205"/>
        <v>4</v>
      </c>
      <c r="AF29" s="139">
        <v>0</v>
      </c>
      <c r="AG29" s="407">
        <f t="shared" si="206"/>
        <v>0</v>
      </c>
      <c r="AH29" s="105" t="s">
        <v>89</v>
      </c>
      <c r="AI29" s="162">
        <f t="shared" si="207"/>
        <v>4</v>
      </c>
      <c r="AJ29" s="105" t="s">
        <v>57</v>
      </c>
      <c r="AK29" s="105" t="s">
        <v>90</v>
      </c>
      <c r="AL29" s="417" t="s">
        <v>90</v>
      </c>
      <c r="AM29" s="139">
        <f t="shared" si="208"/>
        <v>4</v>
      </c>
      <c r="AN29" s="378">
        <v>65.900000000000006</v>
      </c>
      <c r="AO29" s="379">
        <f t="shared" si="209"/>
        <v>4</v>
      </c>
      <c r="AP29" s="380">
        <v>65.799999999999997</v>
      </c>
      <c r="AQ29" s="205">
        <f t="shared" si="210"/>
        <v>4</v>
      </c>
      <c r="AR29" s="405">
        <v>1</v>
      </c>
      <c r="AS29" s="379">
        <f t="shared" si="253"/>
        <v>0</v>
      </c>
      <c r="AT29" s="378">
        <v>2.2999999999999998</v>
      </c>
      <c r="AU29" s="206">
        <f t="shared" si="212"/>
        <v>0</v>
      </c>
      <c r="AV29" s="382">
        <v>10.300000000000001</v>
      </c>
      <c r="AW29" s="162">
        <f t="shared" si="213"/>
        <v>0</v>
      </c>
      <c r="AX29" s="105" t="s">
        <v>89</v>
      </c>
      <c r="AY29" s="162">
        <f t="shared" si="214"/>
        <v>4</v>
      </c>
      <c r="AZ29" s="105" t="s">
        <v>89</v>
      </c>
      <c r="BA29" s="162">
        <f t="shared" si="215"/>
        <v>0.5</v>
      </c>
      <c r="BB29" s="105" t="s">
        <v>89</v>
      </c>
      <c r="BC29" s="162">
        <f t="shared" si="216"/>
        <v>0.5</v>
      </c>
      <c r="BD29" s="105" t="s">
        <v>89</v>
      </c>
      <c r="BE29" s="162">
        <f t="shared" si="217"/>
        <v>0.5</v>
      </c>
      <c r="BF29" s="105" t="s">
        <v>89</v>
      </c>
      <c r="BG29" s="377">
        <f t="shared" si="218"/>
        <v>0.5</v>
      </c>
      <c r="BH29" s="385" t="s">
        <v>89</v>
      </c>
      <c r="BI29" s="407">
        <f t="shared" si="219"/>
        <v>0.5</v>
      </c>
      <c r="BJ29" s="105" t="s">
        <v>89</v>
      </c>
      <c r="BK29" s="377">
        <f t="shared" si="220"/>
        <v>4</v>
      </c>
      <c r="BL29" s="202" t="s">
        <v>91</v>
      </c>
      <c r="BM29" s="107">
        <f t="shared" si="221"/>
        <v>0.5</v>
      </c>
      <c r="BN29" s="139" t="s">
        <v>90</v>
      </c>
      <c r="BO29" s="139">
        <f t="shared" si="222"/>
        <v>0</v>
      </c>
      <c r="BP29" s="139" t="s">
        <v>90</v>
      </c>
      <c r="BQ29" s="202">
        <f t="shared" si="223"/>
        <v>0</v>
      </c>
      <c r="BR29" s="378">
        <v>1094.1399999999999</v>
      </c>
      <c r="BS29" s="382">
        <v>1018.4399999999999</v>
      </c>
      <c r="BT29" s="383">
        <f t="shared" si="224"/>
        <v>-2</v>
      </c>
      <c r="BU29" s="117" t="s">
        <v>90</v>
      </c>
      <c r="BV29" s="117">
        <f t="shared" si="225"/>
        <v>0</v>
      </c>
      <c r="BW29" s="117" t="s">
        <v>90</v>
      </c>
      <c r="BX29" s="117">
        <f t="shared" si="226"/>
        <v>0</v>
      </c>
      <c r="BY29" s="117" t="s">
        <v>90</v>
      </c>
      <c r="BZ29" s="117">
        <f t="shared" si="227"/>
        <v>0</v>
      </c>
      <c r="CA29" s="117" t="s">
        <v>91</v>
      </c>
      <c r="CB29" s="117">
        <f t="shared" si="228"/>
        <v>0</v>
      </c>
      <c r="CC29" s="117" t="s">
        <v>90</v>
      </c>
      <c r="CD29" s="117">
        <f t="shared" si="229"/>
        <v>0</v>
      </c>
      <c r="CE29" s="117" t="s">
        <v>90</v>
      </c>
      <c r="CF29" s="117">
        <f t="shared" si="230"/>
        <v>0</v>
      </c>
      <c r="CG29" s="384">
        <v>277.13</v>
      </c>
      <c r="CH29" s="119">
        <v>253.72999999999999</v>
      </c>
      <c r="CI29" s="139">
        <f t="shared" si="231"/>
        <v>-2</v>
      </c>
      <c r="CJ29" s="386">
        <v>90101</v>
      </c>
      <c r="CK29" s="386">
        <v>85277.199999999997</v>
      </c>
      <c r="CL29" s="123">
        <f t="shared" si="232"/>
        <v>-2</v>
      </c>
      <c r="CM29" s="123" t="s">
        <v>90</v>
      </c>
      <c r="CN29" s="123">
        <f t="shared" si="233"/>
        <v>0</v>
      </c>
      <c r="CO29" s="123" t="s">
        <v>90</v>
      </c>
      <c r="CP29" s="123">
        <f t="shared" si="234"/>
        <v>0</v>
      </c>
      <c r="CQ29" s="123" t="s">
        <v>91</v>
      </c>
      <c r="CR29" s="123">
        <f t="shared" si="235"/>
        <v>0</v>
      </c>
      <c r="CS29" s="123" t="s">
        <v>90</v>
      </c>
      <c r="CT29" s="123">
        <f t="shared" si="236"/>
        <v>0</v>
      </c>
      <c r="CU29" s="146">
        <v>4380.5619999999999</v>
      </c>
      <c r="CV29" s="121">
        <v>2876.8600000000001</v>
      </c>
      <c r="CW29" s="418">
        <f t="shared" si="237"/>
        <v>-2</v>
      </c>
      <c r="CX29" s="147">
        <v>117.5</v>
      </c>
      <c r="CY29" s="107">
        <f t="shared" si="238"/>
        <v>6</v>
      </c>
      <c r="CZ29" s="386">
        <v>256386</v>
      </c>
      <c r="DA29" s="389">
        <v>302404</v>
      </c>
      <c r="DB29" s="416">
        <f t="shared" si="239"/>
        <v>6</v>
      </c>
      <c r="DC29" s="139">
        <v>-2</v>
      </c>
      <c r="DD29" s="141" t="s">
        <v>89</v>
      </c>
      <c r="DE29" s="167">
        <f t="shared" si="240"/>
        <v>4</v>
      </c>
      <c r="DF29" s="419">
        <v>82.5</v>
      </c>
      <c r="DG29" s="420">
        <f t="shared" si="241"/>
        <v>4</v>
      </c>
      <c r="DH29" s="117" t="s">
        <v>57</v>
      </c>
      <c r="DI29" s="390">
        <f t="shared" si="242"/>
        <v>0</v>
      </c>
      <c r="DJ29" s="133" t="s">
        <v>89</v>
      </c>
      <c r="DK29" s="170">
        <f t="shared" si="243"/>
        <v>4</v>
      </c>
      <c r="DL29" s="133" t="s">
        <v>89</v>
      </c>
      <c r="DM29" s="170">
        <f t="shared" si="244"/>
        <v>4</v>
      </c>
      <c r="DN29" s="170" t="s">
        <v>90</v>
      </c>
      <c r="DO29" s="170">
        <f t="shared" si="245"/>
        <v>0</v>
      </c>
      <c r="DP29" s="170" t="s">
        <v>91</v>
      </c>
      <c r="DQ29" s="170">
        <f t="shared" si="246"/>
        <v>0</v>
      </c>
      <c r="DR29" s="406">
        <f>(62.1+50+60)/3</f>
        <v>57.366666666666667</v>
      </c>
      <c r="DS29" s="139">
        <f t="shared" si="247"/>
        <v>4</v>
      </c>
      <c r="DT29" s="150">
        <v>50</v>
      </c>
      <c r="DU29" s="139">
        <f t="shared" si="248"/>
        <v>4</v>
      </c>
      <c r="DV29" s="150">
        <v>75</v>
      </c>
      <c r="DW29" s="139">
        <f t="shared" si="249"/>
        <v>4</v>
      </c>
      <c r="DX29" s="150">
        <v>25</v>
      </c>
      <c r="DY29" s="407">
        <f t="shared" si="250"/>
        <v>1</v>
      </c>
      <c r="DZ29" s="142">
        <f t="shared" si="251"/>
        <v>86</v>
      </c>
      <c r="EA29" s="194">
        <f t="shared" si="252"/>
        <v>25</v>
      </c>
    </row>
    <row r="30">
      <c r="A30" s="421" t="s">
        <v>114</v>
      </c>
      <c r="B30" s="105" t="s">
        <v>89</v>
      </c>
      <c r="C30" s="422">
        <f t="shared" si="191"/>
        <v>4</v>
      </c>
      <c r="D30" s="105" t="s">
        <v>89</v>
      </c>
      <c r="E30" s="422">
        <f t="shared" si="192"/>
        <v>4</v>
      </c>
      <c r="F30" s="422" t="s">
        <v>91</v>
      </c>
      <c r="G30" s="422">
        <f t="shared" si="193"/>
        <v>0.5</v>
      </c>
      <c r="H30" s="422" t="s">
        <v>90</v>
      </c>
      <c r="I30" s="422">
        <f t="shared" si="194"/>
        <v>0</v>
      </c>
      <c r="J30" s="422" t="s">
        <v>90</v>
      </c>
      <c r="K30" s="422">
        <f t="shared" si="195"/>
        <v>0</v>
      </c>
      <c r="L30" s="422" t="s">
        <v>90</v>
      </c>
      <c r="M30" s="422">
        <f t="shared" si="196"/>
        <v>0</v>
      </c>
      <c r="N30" s="105" t="s">
        <v>89</v>
      </c>
      <c r="O30" s="422">
        <f t="shared" si="197"/>
        <v>4</v>
      </c>
      <c r="P30" s="105" t="s">
        <v>89</v>
      </c>
      <c r="Q30" s="422">
        <f t="shared" si="198"/>
        <v>0.5</v>
      </c>
      <c r="R30" s="422" t="s">
        <v>57</v>
      </c>
      <c r="S30" s="422">
        <f t="shared" si="199"/>
        <v>0</v>
      </c>
      <c r="T30" s="105" t="s">
        <v>89</v>
      </c>
      <c r="U30" s="422">
        <f t="shared" si="200"/>
        <v>0.5</v>
      </c>
      <c r="V30" s="105" t="s">
        <v>89</v>
      </c>
      <c r="W30" s="422">
        <f t="shared" si="201"/>
        <v>0.5</v>
      </c>
      <c r="X30" s="105" t="s">
        <v>89</v>
      </c>
      <c r="Y30" s="422">
        <f t="shared" si="202"/>
        <v>4</v>
      </c>
      <c r="Z30" s="422" t="s">
        <v>91</v>
      </c>
      <c r="AA30" s="422">
        <f t="shared" si="203"/>
        <v>0.5</v>
      </c>
      <c r="AB30" s="105" t="s">
        <v>89</v>
      </c>
      <c r="AC30" s="422">
        <f t="shared" si="204"/>
        <v>4</v>
      </c>
      <c r="AD30" s="105" t="s">
        <v>89</v>
      </c>
      <c r="AE30" s="422">
        <f t="shared" si="205"/>
        <v>4</v>
      </c>
      <c r="AF30" s="422">
        <v>0</v>
      </c>
      <c r="AG30" s="422">
        <f t="shared" si="206"/>
        <v>0</v>
      </c>
      <c r="AH30" s="105" t="s">
        <v>89</v>
      </c>
      <c r="AI30" s="422">
        <f t="shared" si="207"/>
        <v>4</v>
      </c>
      <c r="AJ30" s="105" t="s">
        <v>90</v>
      </c>
      <c r="AK30" s="105" t="s">
        <v>89</v>
      </c>
      <c r="AL30" s="108" t="s">
        <v>90</v>
      </c>
      <c r="AM30" s="423">
        <f t="shared" si="208"/>
        <v>0</v>
      </c>
      <c r="AN30" s="378">
        <v>87.599999999999994</v>
      </c>
      <c r="AO30" s="379">
        <f t="shared" si="209"/>
        <v>4</v>
      </c>
      <c r="AP30" s="380">
        <v>63</v>
      </c>
      <c r="AQ30" s="424">
        <f t="shared" si="210"/>
        <v>4</v>
      </c>
      <c r="AR30" s="378">
        <v>1</v>
      </c>
      <c r="AS30" s="379">
        <f t="shared" si="253"/>
        <v>0</v>
      </c>
      <c r="AT30" s="378">
        <v>1.7</v>
      </c>
      <c r="AU30" s="425">
        <f t="shared" si="212"/>
        <v>0</v>
      </c>
      <c r="AV30" s="382">
        <v>5.7000000000000002</v>
      </c>
      <c r="AW30" s="422">
        <f t="shared" si="213"/>
        <v>2</v>
      </c>
      <c r="AX30" s="105" t="s">
        <v>89</v>
      </c>
      <c r="AY30" s="422">
        <f t="shared" si="214"/>
        <v>4</v>
      </c>
      <c r="AZ30" s="105" t="s">
        <v>89</v>
      </c>
      <c r="BA30" s="422">
        <f t="shared" si="215"/>
        <v>0.5</v>
      </c>
      <c r="BB30" s="105" t="s">
        <v>89</v>
      </c>
      <c r="BC30" s="422">
        <f t="shared" si="216"/>
        <v>0.5</v>
      </c>
      <c r="BD30" s="105" t="s">
        <v>89</v>
      </c>
      <c r="BE30" s="422">
        <f t="shared" si="217"/>
        <v>0.5</v>
      </c>
      <c r="BF30" s="105" t="s">
        <v>89</v>
      </c>
      <c r="BG30" s="422">
        <f t="shared" si="218"/>
        <v>0.5</v>
      </c>
      <c r="BH30" s="105" t="s">
        <v>89</v>
      </c>
      <c r="BI30" s="422">
        <f t="shared" si="219"/>
        <v>0.5</v>
      </c>
      <c r="BJ30" s="105" t="s">
        <v>89</v>
      </c>
      <c r="BK30" s="422">
        <f t="shared" si="220"/>
        <v>4</v>
      </c>
      <c r="BL30" s="422" t="s">
        <v>91</v>
      </c>
      <c r="BM30" s="105">
        <f t="shared" si="221"/>
        <v>0.5</v>
      </c>
      <c r="BN30" s="422" t="s">
        <v>90</v>
      </c>
      <c r="BO30" s="422">
        <f t="shared" si="222"/>
        <v>0</v>
      </c>
      <c r="BP30" s="422" t="s">
        <v>90</v>
      </c>
      <c r="BQ30" s="426">
        <f t="shared" si="223"/>
        <v>0</v>
      </c>
      <c r="BR30" s="378">
        <v>472.5</v>
      </c>
      <c r="BS30" s="382">
        <v>406</v>
      </c>
      <c r="BT30" s="383">
        <f t="shared" si="224"/>
        <v>-2</v>
      </c>
      <c r="BU30" s="117" t="s">
        <v>90</v>
      </c>
      <c r="BV30" s="117">
        <f t="shared" si="225"/>
        <v>0</v>
      </c>
      <c r="BW30" s="117" t="s">
        <v>90</v>
      </c>
      <c r="BX30" s="117">
        <f t="shared" si="226"/>
        <v>0</v>
      </c>
      <c r="BY30" s="117" t="s">
        <v>91</v>
      </c>
      <c r="BZ30" s="117">
        <f t="shared" si="227"/>
        <v>2</v>
      </c>
      <c r="CA30" s="117" t="s">
        <v>90</v>
      </c>
      <c r="CB30" s="117">
        <f t="shared" si="228"/>
        <v>0</v>
      </c>
      <c r="CC30" s="117" t="s">
        <v>90</v>
      </c>
      <c r="CD30" s="117">
        <f t="shared" si="229"/>
        <v>0</v>
      </c>
      <c r="CE30" s="117" t="s">
        <v>90</v>
      </c>
      <c r="CF30" s="117">
        <f t="shared" si="230"/>
        <v>0</v>
      </c>
      <c r="CG30" s="384">
        <v>277.13</v>
      </c>
      <c r="CH30" s="119">
        <v>166.36000000000001</v>
      </c>
      <c r="CI30" s="427">
        <f t="shared" si="231"/>
        <v>-2</v>
      </c>
      <c r="CJ30" s="386">
        <v>151571</v>
      </c>
      <c r="CK30" s="386">
        <v>175571.04999999999</v>
      </c>
      <c r="CL30" s="428">
        <f t="shared" si="232"/>
        <v>4</v>
      </c>
      <c r="CM30" s="123" t="s">
        <v>90</v>
      </c>
      <c r="CN30" s="123">
        <f t="shared" si="233"/>
        <v>0</v>
      </c>
      <c r="CO30" s="123" t="s">
        <v>90</v>
      </c>
      <c r="CP30" s="123">
        <f t="shared" si="234"/>
        <v>0</v>
      </c>
      <c r="CQ30" s="123" t="s">
        <v>91</v>
      </c>
      <c r="CR30" s="123">
        <f t="shared" si="235"/>
        <v>0</v>
      </c>
      <c r="CS30" s="123" t="s">
        <v>90</v>
      </c>
      <c r="CT30" s="123">
        <f t="shared" si="236"/>
        <v>0</v>
      </c>
      <c r="CU30" s="121">
        <v>2736.9630000000002</v>
      </c>
      <c r="CV30" s="121">
        <v>519.78999999999996</v>
      </c>
      <c r="CW30" s="429">
        <f t="shared" si="237"/>
        <v>-2</v>
      </c>
      <c r="CX30" s="126">
        <v>116</v>
      </c>
      <c r="CY30" s="107">
        <f t="shared" si="238"/>
        <v>6</v>
      </c>
      <c r="CZ30" s="386">
        <v>198966</v>
      </c>
      <c r="DA30" s="389">
        <v>233685</v>
      </c>
      <c r="DB30" s="416">
        <f t="shared" si="239"/>
        <v>6</v>
      </c>
      <c r="DC30" s="139">
        <v>4</v>
      </c>
      <c r="DD30" s="141" t="s">
        <v>89</v>
      </c>
      <c r="DE30" s="430">
        <f t="shared" si="240"/>
        <v>4</v>
      </c>
      <c r="DF30" s="157">
        <v>80.599999999999994</v>
      </c>
      <c r="DG30" s="430">
        <f t="shared" si="241"/>
        <v>4</v>
      </c>
      <c r="DH30" s="117" t="s">
        <v>57</v>
      </c>
      <c r="DI30" s="390">
        <f t="shared" si="242"/>
        <v>0</v>
      </c>
      <c r="DJ30" s="133" t="s">
        <v>89</v>
      </c>
      <c r="DK30" s="431">
        <f t="shared" si="243"/>
        <v>4</v>
      </c>
      <c r="DL30" s="133" t="s">
        <v>89</v>
      </c>
      <c r="DM30" s="431">
        <f t="shared" si="244"/>
        <v>4</v>
      </c>
      <c r="DN30" s="170" t="s">
        <v>90</v>
      </c>
      <c r="DO30" s="170">
        <f t="shared" si="245"/>
        <v>0</v>
      </c>
      <c r="DP30" s="170" t="s">
        <v>91</v>
      </c>
      <c r="DQ30" s="170">
        <f t="shared" si="246"/>
        <v>0</v>
      </c>
      <c r="DR30" s="406">
        <f>(42.9+46.1+46.1)/3</f>
        <v>45.033333333333331</v>
      </c>
      <c r="DS30" s="139">
        <f t="shared" si="247"/>
        <v>2</v>
      </c>
      <c r="DT30" s="150">
        <v>66.700000000000003</v>
      </c>
      <c r="DU30" s="139">
        <f t="shared" si="248"/>
        <v>4</v>
      </c>
      <c r="DV30" s="150">
        <v>0</v>
      </c>
      <c r="DW30" s="139">
        <f t="shared" si="249"/>
        <v>-2</v>
      </c>
      <c r="DX30" s="150">
        <v>0</v>
      </c>
      <c r="DY30" s="407">
        <f t="shared" si="250"/>
        <v>-2</v>
      </c>
      <c r="DZ30" s="142">
        <f t="shared" si="251"/>
        <v>85.5</v>
      </c>
      <c r="EA30" s="194">
        <f t="shared" si="252"/>
        <v>26</v>
      </c>
    </row>
    <row r="31">
      <c r="A31" s="104" t="s">
        <v>117</v>
      </c>
      <c r="B31" s="105" t="s">
        <v>89</v>
      </c>
      <c r="C31" s="105">
        <f t="shared" si="191"/>
        <v>4</v>
      </c>
      <c r="D31" s="105" t="s">
        <v>89</v>
      </c>
      <c r="E31" s="105">
        <f t="shared" si="192"/>
        <v>4</v>
      </c>
      <c r="F31" s="105" t="s">
        <v>91</v>
      </c>
      <c r="G31" s="105">
        <f t="shared" si="193"/>
        <v>0.5</v>
      </c>
      <c r="H31" s="105" t="s">
        <v>90</v>
      </c>
      <c r="I31" s="105">
        <f t="shared" si="194"/>
        <v>0</v>
      </c>
      <c r="J31" s="105" t="s">
        <v>91</v>
      </c>
      <c r="K31" s="105">
        <f t="shared" si="195"/>
        <v>0.5</v>
      </c>
      <c r="L31" s="105" t="s">
        <v>90</v>
      </c>
      <c r="M31" s="105">
        <f t="shared" si="196"/>
        <v>0</v>
      </c>
      <c r="N31" s="105" t="s">
        <v>89</v>
      </c>
      <c r="O31" s="105">
        <f t="shared" si="197"/>
        <v>4</v>
      </c>
      <c r="P31" s="105" t="s">
        <v>89</v>
      </c>
      <c r="Q31" s="105">
        <f t="shared" si="198"/>
        <v>0.5</v>
      </c>
      <c r="R31" s="105" t="s">
        <v>89</v>
      </c>
      <c r="S31" s="105">
        <f t="shared" si="199"/>
        <v>0.5</v>
      </c>
      <c r="T31" s="105" t="s">
        <v>89</v>
      </c>
      <c r="U31" s="105">
        <f t="shared" si="200"/>
        <v>0.5</v>
      </c>
      <c r="V31" s="105" t="s">
        <v>89</v>
      </c>
      <c r="W31" s="105">
        <f t="shared" si="201"/>
        <v>0.5</v>
      </c>
      <c r="X31" s="105" t="s">
        <v>89</v>
      </c>
      <c r="Y31" s="105">
        <f t="shared" si="202"/>
        <v>4</v>
      </c>
      <c r="Z31" s="105" t="s">
        <v>91</v>
      </c>
      <c r="AA31" s="105">
        <f t="shared" si="203"/>
        <v>0.5</v>
      </c>
      <c r="AB31" s="105" t="s">
        <v>89</v>
      </c>
      <c r="AC31" s="105">
        <f t="shared" si="204"/>
        <v>4</v>
      </c>
      <c r="AD31" s="105" t="s">
        <v>89</v>
      </c>
      <c r="AE31" s="105">
        <f t="shared" si="205"/>
        <v>4</v>
      </c>
      <c r="AF31" s="105">
        <v>4</v>
      </c>
      <c r="AG31" s="105">
        <f t="shared" si="206"/>
        <v>4</v>
      </c>
      <c r="AH31" s="105" t="s">
        <v>89</v>
      </c>
      <c r="AI31" s="105">
        <f t="shared" si="207"/>
        <v>4</v>
      </c>
      <c r="AJ31" s="105" t="s">
        <v>57</v>
      </c>
      <c r="AK31" s="105" t="s">
        <v>90</v>
      </c>
      <c r="AL31" s="108" t="s">
        <v>90</v>
      </c>
      <c r="AM31" s="416">
        <f t="shared" si="208"/>
        <v>4</v>
      </c>
      <c r="AN31" s="432">
        <v>0</v>
      </c>
      <c r="AO31" s="379">
        <f t="shared" si="209"/>
        <v>-2</v>
      </c>
      <c r="AP31" s="380">
        <v>74.200000000000003</v>
      </c>
      <c r="AQ31" s="379">
        <f t="shared" si="210"/>
        <v>4</v>
      </c>
      <c r="AR31" s="405">
        <v>0</v>
      </c>
      <c r="AS31" s="379">
        <f t="shared" si="253"/>
        <v>-2</v>
      </c>
      <c r="AT31" s="378">
        <v>2</v>
      </c>
      <c r="AU31" s="381">
        <f t="shared" si="212"/>
        <v>0</v>
      </c>
      <c r="AV31" s="382">
        <v>8.3000000000000007</v>
      </c>
      <c r="AW31" s="105">
        <f t="shared" si="213"/>
        <v>2</v>
      </c>
      <c r="AX31" s="105" t="s">
        <v>89</v>
      </c>
      <c r="AY31" s="105">
        <f t="shared" si="214"/>
        <v>4</v>
      </c>
      <c r="AZ31" s="105" t="s">
        <v>89</v>
      </c>
      <c r="BA31" s="105">
        <f t="shared" si="215"/>
        <v>0.5</v>
      </c>
      <c r="BB31" s="105" t="s">
        <v>89</v>
      </c>
      <c r="BC31" s="105">
        <f t="shared" si="216"/>
        <v>0.5</v>
      </c>
      <c r="BD31" s="105" t="s">
        <v>89</v>
      </c>
      <c r="BE31" s="105">
        <f t="shared" si="217"/>
        <v>0.5</v>
      </c>
      <c r="BF31" s="105" t="s">
        <v>89</v>
      </c>
      <c r="BG31" s="105">
        <f t="shared" si="218"/>
        <v>0.5</v>
      </c>
      <c r="BH31" s="105" t="s">
        <v>89</v>
      </c>
      <c r="BI31" s="105">
        <f t="shared" si="219"/>
        <v>0.5</v>
      </c>
      <c r="BJ31" s="105" t="s">
        <v>89</v>
      </c>
      <c r="BK31" s="105">
        <f t="shared" si="220"/>
        <v>4</v>
      </c>
      <c r="BL31" s="105" t="s">
        <v>91</v>
      </c>
      <c r="BM31" s="105">
        <f t="shared" si="221"/>
        <v>0.5</v>
      </c>
      <c r="BN31" s="105" t="s">
        <v>90</v>
      </c>
      <c r="BO31" s="105">
        <f t="shared" si="222"/>
        <v>0</v>
      </c>
      <c r="BP31" s="105" t="s">
        <v>90</v>
      </c>
      <c r="BQ31" s="107">
        <f t="shared" si="223"/>
        <v>0</v>
      </c>
      <c r="BR31" s="378">
        <v>1092.3</v>
      </c>
      <c r="BS31" s="382">
        <v>1056.9199999999998</v>
      </c>
      <c r="BT31" s="383">
        <f t="shared" si="224"/>
        <v>-2</v>
      </c>
      <c r="BU31" s="178" t="s">
        <v>90</v>
      </c>
      <c r="BV31" s="178">
        <f t="shared" si="225"/>
        <v>0</v>
      </c>
      <c r="BW31" s="178" t="s">
        <v>90</v>
      </c>
      <c r="BX31" s="178">
        <f t="shared" si="226"/>
        <v>0</v>
      </c>
      <c r="BY31" s="178" t="s">
        <v>90</v>
      </c>
      <c r="BZ31" s="178">
        <f t="shared" si="227"/>
        <v>0</v>
      </c>
      <c r="CA31" s="178" t="s">
        <v>91</v>
      </c>
      <c r="CB31" s="178">
        <f t="shared" si="228"/>
        <v>0</v>
      </c>
      <c r="CC31" s="117" t="s">
        <v>90</v>
      </c>
      <c r="CD31" s="117">
        <f t="shared" si="229"/>
        <v>0</v>
      </c>
      <c r="CE31" s="117" t="s">
        <v>91</v>
      </c>
      <c r="CF31" s="117">
        <f t="shared" si="230"/>
        <v>4</v>
      </c>
      <c r="CG31" s="384">
        <v>277.13</v>
      </c>
      <c r="CH31" s="119">
        <v>203.41999999999999</v>
      </c>
      <c r="CI31" s="385">
        <f t="shared" si="231"/>
        <v>-2</v>
      </c>
      <c r="CJ31" s="386">
        <v>122613</v>
      </c>
      <c r="CK31" s="386">
        <v>109572.46000000001</v>
      </c>
      <c r="CL31" s="387">
        <f t="shared" si="232"/>
        <v>-2</v>
      </c>
      <c r="CM31" s="123" t="s">
        <v>90</v>
      </c>
      <c r="CN31" s="123">
        <f t="shared" si="233"/>
        <v>0</v>
      </c>
      <c r="CO31" s="123" t="s">
        <v>90</v>
      </c>
      <c r="CP31" s="123">
        <f t="shared" si="234"/>
        <v>0</v>
      </c>
      <c r="CQ31" s="123" t="s">
        <v>91</v>
      </c>
      <c r="CR31" s="123">
        <f t="shared" si="235"/>
        <v>0</v>
      </c>
      <c r="CS31" s="123" t="s">
        <v>90</v>
      </c>
      <c r="CT31" s="123">
        <f t="shared" si="236"/>
        <v>0</v>
      </c>
      <c r="CU31" s="146">
        <v>615.40700000000004</v>
      </c>
      <c r="CV31" s="121">
        <v>262.99000000000001</v>
      </c>
      <c r="CW31" s="388">
        <f t="shared" si="237"/>
        <v>-2</v>
      </c>
      <c r="CX31" s="147">
        <v>118.09999999999999</v>
      </c>
      <c r="CY31" s="107">
        <f t="shared" si="238"/>
        <v>6</v>
      </c>
      <c r="CZ31" s="386">
        <v>373601</v>
      </c>
      <c r="DA31" s="389">
        <v>385345</v>
      </c>
      <c r="DB31" s="416">
        <f t="shared" si="239"/>
        <v>4</v>
      </c>
      <c r="DC31" s="139">
        <v>-2</v>
      </c>
      <c r="DD31" s="141" t="s">
        <v>89</v>
      </c>
      <c r="DE31" s="183">
        <f t="shared" si="240"/>
        <v>4</v>
      </c>
      <c r="DF31" s="157">
        <v>84.700000000000003</v>
      </c>
      <c r="DG31" s="183">
        <f t="shared" si="241"/>
        <v>4</v>
      </c>
      <c r="DH31" s="117" t="s">
        <v>57</v>
      </c>
      <c r="DI31" s="390">
        <f t="shared" si="242"/>
        <v>0</v>
      </c>
      <c r="DJ31" s="133" t="s">
        <v>89</v>
      </c>
      <c r="DK31" s="391">
        <f t="shared" si="243"/>
        <v>4</v>
      </c>
      <c r="DL31" s="133" t="s">
        <v>89</v>
      </c>
      <c r="DM31" s="391">
        <f t="shared" si="244"/>
        <v>4</v>
      </c>
      <c r="DN31" s="170" t="s">
        <v>90</v>
      </c>
      <c r="DO31" s="170">
        <f t="shared" si="245"/>
        <v>0</v>
      </c>
      <c r="DP31" s="170" t="s">
        <v>91</v>
      </c>
      <c r="DQ31" s="170">
        <f t="shared" si="246"/>
        <v>0</v>
      </c>
      <c r="DR31" s="406">
        <f>(66+58.8+60.8)/3</f>
        <v>61.866666666666667</v>
      </c>
      <c r="DS31" s="139">
        <f t="shared" si="247"/>
        <v>4</v>
      </c>
      <c r="DT31" s="150">
        <v>50</v>
      </c>
      <c r="DU31" s="139">
        <f t="shared" si="248"/>
        <v>4</v>
      </c>
      <c r="DV31" s="150">
        <v>33</v>
      </c>
      <c r="DW31" s="139">
        <f t="shared" si="249"/>
        <v>1</v>
      </c>
      <c r="DX31" s="150">
        <v>25</v>
      </c>
      <c r="DY31" s="407">
        <f t="shared" si="250"/>
        <v>1</v>
      </c>
      <c r="DZ31" s="142">
        <f t="shared" si="251"/>
        <v>82.5</v>
      </c>
      <c r="EA31" s="194">
        <f t="shared" si="252"/>
        <v>27</v>
      </c>
    </row>
    <row r="32">
      <c r="A32" s="104" t="s">
        <v>118</v>
      </c>
      <c r="B32" s="105" t="s">
        <v>89</v>
      </c>
      <c r="C32" s="105">
        <f t="shared" si="191"/>
        <v>4</v>
      </c>
      <c r="D32" s="105" t="s">
        <v>89</v>
      </c>
      <c r="E32" s="105">
        <f t="shared" si="192"/>
        <v>4</v>
      </c>
      <c r="F32" s="105" t="s">
        <v>91</v>
      </c>
      <c r="G32" s="105">
        <f t="shared" si="193"/>
        <v>0.5</v>
      </c>
      <c r="H32" s="105" t="s">
        <v>90</v>
      </c>
      <c r="I32" s="105">
        <f t="shared" si="194"/>
        <v>0</v>
      </c>
      <c r="J32" s="105" t="s">
        <v>91</v>
      </c>
      <c r="K32" s="105">
        <f t="shared" si="195"/>
        <v>0.5</v>
      </c>
      <c r="L32" s="105" t="s">
        <v>90</v>
      </c>
      <c r="M32" s="105">
        <f t="shared" si="196"/>
        <v>0</v>
      </c>
      <c r="N32" s="105" t="s">
        <v>89</v>
      </c>
      <c r="O32" s="105">
        <f t="shared" si="197"/>
        <v>4</v>
      </c>
      <c r="P32" s="105" t="s">
        <v>89</v>
      </c>
      <c r="Q32" s="105">
        <f t="shared" si="198"/>
        <v>0.5</v>
      </c>
      <c r="R32" s="105" t="s">
        <v>89</v>
      </c>
      <c r="S32" s="105">
        <f t="shared" si="199"/>
        <v>0.5</v>
      </c>
      <c r="T32" s="105" t="s">
        <v>89</v>
      </c>
      <c r="U32" s="105">
        <f t="shared" si="200"/>
        <v>0.5</v>
      </c>
      <c r="V32" s="105" t="s">
        <v>89</v>
      </c>
      <c r="W32" s="105">
        <f t="shared" si="201"/>
        <v>0.5</v>
      </c>
      <c r="X32" s="105" t="s">
        <v>89</v>
      </c>
      <c r="Y32" s="105">
        <f t="shared" si="202"/>
        <v>4</v>
      </c>
      <c r="Z32" s="105" t="s">
        <v>91</v>
      </c>
      <c r="AA32" s="105">
        <f t="shared" si="203"/>
        <v>0.5</v>
      </c>
      <c r="AB32" s="105" t="s">
        <v>57</v>
      </c>
      <c r="AC32" s="105">
        <f t="shared" si="204"/>
        <v>0</v>
      </c>
      <c r="AD32" s="105" t="s">
        <v>89</v>
      </c>
      <c r="AE32" s="105">
        <f t="shared" si="205"/>
        <v>4</v>
      </c>
      <c r="AF32" s="105">
        <v>1</v>
      </c>
      <c r="AG32" s="105">
        <f t="shared" si="206"/>
        <v>1</v>
      </c>
      <c r="AH32" s="105" t="s">
        <v>89</v>
      </c>
      <c r="AI32" s="105">
        <f t="shared" si="207"/>
        <v>4</v>
      </c>
      <c r="AJ32" s="105" t="s">
        <v>57</v>
      </c>
      <c r="AK32" s="105" t="s">
        <v>90</v>
      </c>
      <c r="AL32" s="108" t="s">
        <v>90</v>
      </c>
      <c r="AM32" s="416">
        <f t="shared" si="208"/>
        <v>4</v>
      </c>
      <c r="AN32" s="432">
        <v>0</v>
      </c>
      <c r="AO32" s="379">
        <f t="shared" si="209"/>
        <v>-2</v>
      </c>
      <c r="AP32" s="380">
        <v>67</v>
      </c>
      <c r="AQ32" s="379">
        <f t="shared" si="210"/>
        <v>4</v>
      </c>
      <c r="AR32" s="405">
        <v>0</v>
      </c>
      <c r="AS32" s="379">
        <f t="shared" si="253"/>
        <v>-2</v>
      </c>
      <c r="AT32" s="378">
        <v>1.3</v>
      </c>
      <c r="AU32" s="379">
        <f t="shared" si="212"/>
        <v>0</v>
      </c>
      <c r="AV32" s="378">
        <v>8</v>
      </c>
      <c r="AW32" s="141">
        <f t="shared" si="213"/>
        <v>2</v>
      </c>
      <c r="AX32" s="105" t="s">
        <v>89</v>
      </c>
      <c r="AY32" s="105">
        <f t="shared" si="214"/>
        <v>4</v>
      </c>
      <c r="AZ32" s="105" t="s">
        <v>89</v>
      </c>
      <c r="BA32" s="105">
        <f t="shared" si="215"/>
        <v>0.5</v>
      </c>
      <c r="BB32" s="105" t="s">
        <v>89</v>
      </c>
      <c r="BC32" s="105">
        <f t="shared" si="216"/>
        <v>0.5</v>
      </c>
      <c r="BD32" s="105" t="s">
        <v>89</v>
      </c>
      <c r="BE32" s="105">
        <f t="shared" si="217"/>
        <v>0.5</v>
      </c>
      <c r="BF32" s="105" t="s">
        <v>89</v>
      </c>
      <c r="BG32" s="105">
        <f t="shared" si="218"/>
        <v>0.5</v>
      </c>
      <c r="BH32" s="105" t="s">
        <v>57</v>
      </c>
      <c r="BI32" s="105">
        <f t="shared" si="219"/>
        <v>0</v>
      </c>
      <c r="BJ32" s="105" t="s">
        <v>89</v>
      </c>
      <c r="BK32" s="105">
        <f t="shared" si="220"/>
        <v>4</v>
      </c>
      <c r="BL32" s="105" t="s">
        <v>91</v>
      </c>
      <c r="BM32" s="105">
        <f t="shared" si="221"/>
        <v>0.5</v>
      </c>
      <c r="BN32" s="105" t="s">
        <v>90</v>
      </c>
      <c r="BO32" s="105">
        <f t="shared" si="222"/>
        <v>0</v>
      </c>
      <c r="BP32" s="105" t="s">
        <v>90</v>
      </c>
      <c r="BQ32" s="107">
        <f t="shared" si="223"/>
        <v>0</v>
      </c>
      <c r="BR32" s="378">
        <v>203.29999999999998</v>
      </c>
      <c r="BS32" s="382">
        <v>205.29999999999998</v>
      </c>
      <c r="BT32" s="383">
        <f t="shared" si="224"/>
        <v>2</v>
      </c>
      <c r="BU32" s="117" t="s">
        <v>90</v>
      </c>
      <c r="BV32" s="117">
        <f t="shared" si="225"/>
        <v>0</v>
      </c>
      <c r="BW32" s="117" t="s">
        <v>90</v>
      </c>
      <c r="BX32" s="433">
        <f t="shared" si="226"/>
        <v>0</v>
      </c>
      <c r="BY32" s="433" t="s">
        <v>90</v>
      </c>
      <c r="BZ32" s="117">
        <f t="shared" si="227"/>
        <v>0</v>
      </c>
      <c r="CA32" s="433" t="s">
        <v>91</v>
      </c>
      <c r="CB32" s="117">
        <f t="shared" si="228"/>
        <v>0</v>
      </c>
      <c r="CC32" s="117" t="s">
        <v>90</v>
      </c>
      <c r="CD32" s="117">
        <f t="shared" si="229"/>
        <v>0</v>
      </c>
      <c r="CE32" s="117" t="s">
        <v>91</v>
      </c>
      <c r="CF32" s="117">
        <f t="shared" si="230"/>
        <v>4</v>
      </c>
      <c r="CG32" s="384">
        <v>277.13</v>
      </c>
      <c r="CH32" s="119">
        <v>195.83000000000001</v>
      </c>
      <c r="CI32" s="385">
        <f t="shared" si="231"/>
        <v>-2</v>
      </c>
      <c r="CJ32" s="386">
        <v>85556</v>
      </c>
      <c r="CK32" s="386">
        <v>118908.46000000001</v>
      </c>
      <c r="CL32" s="387">
        <f t="shared" si="232"/>
        <v>4</v>
      </c>
      <c r="CM32" s="123" t="s">
        <v>90</v>
      </c>
      <c r="CN32" s="123">
        <f t="shared" si="233"/>
        <v>0</v>
      </c>
      <c r="CO32" s="123" t="s">
        <v>90</v>
      </c>
      <c r="CP32" s="123">
        <f t="shared" si="234"/>
        <v>0</v>
      </c>
      <c r="CQ32" s="123" t="s">
        <v>91</v>
      </c>
      <c r="CR32" s="123">
        <f t="shared" si="235"/>
        <v>0</v>
      </c>
      <c r="CS32" s="123" t="s">
        <v>90</v>
      </c>
      <c r="CT32" s="123">
        <f t="shared" si="236"/>
        <v>0</v>
      </c>
      <c r="CU32" s="121">
        <v>1013.035</v>
      </c>
      <c r="CV32" s="121">
        <v>1867.4200000000001</v>
      </c>
      <c r="CW32" s="388">
        <f t="shared" si="237"/>
        <v>6</v>
      </c>
      <c r="CX32" s="147">
        <v>119.3</v>
      </c>
      <c r="CY32" s="107">
        <f t="shared" si="238"/>
        <v>6</v>
      </c>
      <c r="CZ32" s="386">
        <v>180473</v>
      </c>
      <c r="DA32" s="389">
        <v>187440</v>
      </c>
      <c r="DB32" s="416">
        <f t="shared" si="239"/>
        <v>4</v>
      </c>
      <c r="DC32" s="139">
        <v>-2</v>
      </c>
      <c r="DD32" s="141" t="s">
        <v>89</v>
      </c>
      <c r="DE32" s="183">
        <f t="shared" si="240"/>
        <v>4</v>
      </c>
      <c r="DF32" s="157">
        <v>75.700000000000003</v>
      </c>
      <c r="DG32" s="183">
        <f t="shared" si="241"/>
        <v>4</v>
      </c>
      <c r="DH32" s="117" t="s">
        <v>57</v>
      </c>
      <c r="DI32" s="390">
        <f t="shared" si="242"/>
        <v>0</v>
      </c>
      <c r="DJ32" s="133" t="s">
        <v>89</v>
      </c>
      <c r="DK32" s="391">
        <f t="shared" si="243"/>
        <v>4</v>
      </c>
      <c r="DL32" s="133" t="s">
        <v>89</v>
      </c>
      <c r="DM32" s="391">
        <f t="shared" si="244"/>
        <v>4</v>
      </c>
      <c r="DN32" s="170" t="s">
        <v>90</v>
      </c>
      <c r="DO32" s="170">
        <f t="shared" si="245"/>
        <v>0</v>
      </c>
      <c r="DP32" s="170" t="s">
        <v>91</v>
      </c>
      <c r="DQ32" s="434">
        <f t="shared" si="246"/>
        <v>0</v>
      </c>
      <c r="DR32" s="138">
        <f>(22.2+13.5+21.6)/3</f>
        <v>19.100000000000001</v>
      </c>
      <c r="DS32" s="139">
        <f t="shared" si="247"/>
        <v>-4</v>
      </c>
      <c r="DT32" s="150">
        <v>75</v>
      </c>
      <c r="DU32" s="139">
        <f t="shared" si="248"/>
        <v>4</v>
      </c>
      <c r="DV32" s="150">
        <v>12.5</v>
      </c>
      <c r="DW32" s="139">
        <f t="shared" si="249"/>
        <v>-2</v>
      </c>
      <c r="DX32" s="150">
        <v>12.5</v>
      </c>
      <c r="DY32" s="407">
        <f t="shared" si="250"/>
        <v>1</v>
      </c>
      <c r="DZ32" s="142">
        <f t="shared" si="251"/>
        <v>82</v>
      </c>
      <c r="EA32" s="194">
        <f t="shared" si="252"/>
        <v>28</v>
      </c>
    </row>
    <row r="33">
      <c r="A33" s="104" t="s">
        <v>119</v>
      </c>
      <c r="B33" s="105" t="s">
        <v>89</v>
      </c>
      <c r="C33" s="105">
        <f t="shared" si="191"/>
        <v>4</v>
      </c>
      <c r="D33" s="105" t="s">
        <v>89</v>
      </c>
      <c r="E33" s="105">
        <f t="shared" si="192"/>
        <v>4</v>
      </c>
      <c r="F33" s="105" t="s">
        <v>91</v>
      </c>
      <c r="G33" s="105">
        <f t="shared" si="193"/>
        <v>0.5</v>
      </c>
      <c r="H33" s="105" t="s">
        <v>90</v>
      </c>
      <c r="I33" s="105">
        <f t="shared" si="194"/>
        <v>0</v>
      </c>
      <c r="J33" s="105" t="s">
        <v>90</v>
      </c>
      <c r="K33" s="105">
        <f t="shared" si="195"/>
        <v>0</v>
      </c>
      <c r="L33" s="105" t="s">
        <v>91</v>
      </c>
      <c r="M33" s="105">
        <f t="shared" si="196"/>
        <v>1</v>
      </c>
      <c r="N33" s="105" t="s">
        <v>89</v>
      </c>
      <c r="O33" s="105">
        <f t="shared" si="197"/>
        <v>4</v>
      </c>
      <c r="P33" s="105" t="s">
        <v>89</v>
      </c>
      <c r="Q33" s="105">
        <f t="shared" si="198"/>
        <v>0.5</v>
      </c>
      <c r="R33" s="105" t="s">
        <v>89</v>
      </c>
      <c r="S33" s="105">
        <f t="shared" si="199"/>
        <v>0.5</v>
      </c>
      <c r="T33" s="105" t="s">
        <v>89</v>
      </c>
      <c r="U33" s="105">
        <f t="shared" si="200"/>
        <v>0.5</v>
      </c>
      <c r="V33" s="105" t="s">
        <v>89</v>
      </c>
      <c r="W33" s="105">
        <f t="shared" si="201"/>
        <v>0.5</v>
      </c>
      <c r="X33" s="105" t="s">
        <v>89</v>
      </c>
      <c r="Y33" s="105">
        <f t="shared" si="202"/>
        <v>4</v>
      </c>
      <c r="Z33" s="105" t="s">
        <v>91</v>
      </c>
      <c r="AA33" s="105">
        <f t="shared" si="203"/>
        <v>0.5</v>
      </c>
      <c r="AB33" s="105" t="s">
        <v>89</v>
      </c>
      <c r="AC33" s="105">
        <f t="shared" si="204"/>
        <v>4</v>
      </c>
      <c r="AD33" s="105" t="s">
        <v>89</v>
      </c>
      <c r="AE33" s="105">
        <f t="shared" si="205"/>
        <v>4</v>
      </c>
      <c r="AF33" s="105">
        <v>1</v>
      </c>
      <c r="AG33" s="105">
        <f t="shared" si="206"/>
        <v>1</v>
      </c>
      <c r="AH33" s="105" t="s">
        <v>89</v>
      </c>
      <c r="AI33" s="105">
        <f t="shared" si="207"/>
        <v>4</v>
      </c>
      <c r="AJ33" s="105" t="s">
        <v>90</v>
      </c>
      <c r="AK33" s="105" t="s">
        <v>89</v>
      </c>
      <c r="AL33" s="108" t="s">
        <v>90</v>
      </c>
      <c r="AM33" s="416">
        <f t="shared" si="208"/>
        <v>0</v>
      </c>
      <c r="AN33" s="378">
        <v>7.9000000000000004</v>
      </c>
      <c r="AO33" s="379">
        <f t="shared" si="209"/>
        <v>-2</v>
      </c>
      <c r="AP33" s="380">
        <v>45.200000000000003</v>
      </c>
      <c r="AQ33" s="379">
        <f t="shared" si="210"/>
        <v>4</v>
      </c>
      <c r="AR33" s="378">
        <v>1</v>
      </c>
      <c r="AS33" s="379">
        <f t="shared" si="253"/>
        <v>0</v>
      </c>
      <c r="AT33" s="378">
        <v>1.7</v>
      </c>
      <c r="AU33" s="379">
        <f t="shared" si="212"/>
        <v>0</v>
      </c>
      <c r="AV33" s="378">
        <v>15.1</v>
      </c>
      <c r="AW33" s="141">
        <f t="shared" si="213"/>
        <v>0</v>
      </c>
      <c r="AX33" s="105" t="s">
        <v>89</v>
      </c>
      <c r="AY33" s="105">
        <f t="shared" si="214"/>
        <v>4</v>
      </c>
      <c r="AZ33" s="105" t="s">
        <v>89</v>
      </c>
      <c r="BA33" s="105">
        <f t="shared" si="215"/>
        <v>0.5</v>
      </c>
      <c r="BB33" s="105" t="s">
        <v>89</v>
      </c>
      <c r="BC33" s="105">
        <f t="shared" si="216"/>
        <v>0.5</v>
      </c>
      <c r="BD33" s="105" t="s">
        <v>89</v>
      </c>
      <c r="BE33" s="105">
        <f t="shared" si="217"/>
        <v>0.5</v>
      </c>
      <c r="BF33" s="105" t="s">
        <v>89</v>
      </c>
      <c r="BG33" s="105">
        <f t="shared" si="218"/>
        <v>0.5</v>
      </c>
      <c r="BH33" s="105" t="s">
        <v>89</v>
      </c>
      <c r="BI33" s="105">
        <f t="shared" si="219"/>
        <v>0.5</v>
      </c>
      <c r="BJ33" s="105" t="s">
        <v>89</v>
      </c>
      <c r="BK33" s="105">
        <f t="shared" si="220"/>
        <v>4</v>
      </c>
      <c r="BL33" s="105" t="s">
        <v>90</v>
      </c>
      <c r="BM33" s="105">
        <f t="shared" si="221"/>
        <v>0</v>
      </c>
      <c r="BN33" s="105" t="s">
        <v>91</v>
      </c>
      <c r="BO33" s="105">
        <f t="shared" si="222"/>
        <v>1</v>
      </c>
      <c r="BP33" s="105" t="s">
        <v>90</v>
      </c>
      <c r="BQ33" s="107">
        <f t="shared" si="223"/>
        <v>0</v>
      </c>
      <c r="BR33" s="378">
        <v>1021.4</v>
      </c>
      <c r="BS33" s="382">
        <v>715.60000000000002</v>
      </c>
      <c r="BT33" s="383">
        <f t="shared" si="224"/>
        <v>-2</v>
      </c>
      <c r="BU33" s="117" t="s">
        <v>90</v>
      </c>
      <c r="BV33" s="117">
        <f t="shared" si="225"/>
        <v>0</v>
      </c>
      <c r="BW33" s="435" t="s">
        <v>90</v>
      </c>
      <c r="BX33" s="227">
        <f t="shared" si="226"/>
        <v>0</v>
      </c>
      <c r="BY33" s="436" t="s">
        <v>91</v>
      </c>
      <c r="BZ33" s="435">
        <f t="shared" si="227"/>
        <v>2</v>
      </c>
      <c r="CA33" s="436" t="s">
        <v>90</v>
      </c>
      <c r="CB33" s="117">
        <f t="shared" si="228"/>
        <v>0</v>
      </c>
      <c r="CC33" s="117" t="s">
        <v>91</v>
      </c>
      <c r="CD33" s="117">
        <f t="shared" si="229"/>
        <v>0.5</v>
      </c>
      <c r="CE33" s="117" t="s">
        <v>90</v>
      </c>
      <c r="CF33" s="117">
        <f t="shared" si="230"/>
        <v>0</v>
      </c>
      <c r="CG33" s="384">
        <v>277.13</v>
      </c>
      <c r="CH33" s="119">
        <v>208.03</v>
      </c>
      <c r="CI33" s="385">
        <f t="shared" si="231"/>
        <v>-2</v>
      </c>
      <c r="CJ33" s="386">
        <v>217347</v>
      </c>
      <c r="CK33" s="386">
        <v>183185.28</v>
      </c>
      <c r="CL33" s="387">
        <f t="shared" si="232"/>
        <v>-2</v>
      </c>
      <c r="CM33" s="123" t="s">
        <v>90</v>
      </c>
      <c r="CN33" s="123">
        <f t="shared" si="233"/>
        <v>0</v>
      </c>
      <c r="CO33" s="123" t="s">
        <v>90</v>
      </c>
      <c r="CP33" s="123">
        <f t="shared" si="234"/>
        <v>0</v>
      </c>
      <c r="CQ33" s="123" t="s">
        <v>91</v>
      </c>
      <c r="CR33" s="123">
        <f t="shared" si="235"/>
        <v>0</v>
      </c>
      <c r="CS33" s="123" t="s">
        <v>90</v>
      </c>
      <c r="CT33" s="123">
        <f t="shared" si="236"/>
        <v>0</v>
      </c>
      <c r="CU33" s="121">
        <v>1147.817</v>
      </c>
      <c r="CV33" s="121">
        <v>450.48000000000002</v>
      </c>
      <c r="CW33" s="388">
        <f t="shared" si="237"/>
        <v>-2</v>
      </c>
      <c r="CX33" s="126">
        <v>119</v>
      </c>
      <c r="CY33" s="107">
        <f t="shared" si="238"/>
        <v>6</v>
      </c>
      <c r="CZ33" s="386">
        <v>262247</v>
      </c>
      <c r="DA33" s="389">
        <v>304970</v>
      </c>
      <c r="DB33" s="416">
        <f t="shared" si="239"/>
        <v>6</v>
      </c>
      <c r="DC33" s="139">
        <v>-2</v>
      </c>
      <c r="DD33" s="141" t="s">
        <v>89</v>
      </c>
      <c r="DE33" s="183">
        <f t="shared" si="240"/>
        <v>4</v>
      </c>
      <c r="DF33" s="157">
        <v>91.099999999999994</v>
      </c>
      <c r="DG33" s="183">
        <f t="shared" si="241"/>
        <v>4</v>
      </c>
      <c r="DH33" s="117" t="s">
        <v>57</v>
      </c>
      <c r="DI33" s="390">
        <f t="shared" si="242"/>
        <v>0</v>
      </c>
      <c r="DJ33" s="133" t="s">
        <v>57</v>
      </c>
      <c r="DK33" s="391">
        <f t="shared" si="243"/>
        <v>0</v>
      </c>
      <c r="DL33" s="133" t="s">
        <v>89</v>
      </c>
      <c r="DM33" s="391">
        <f t="shared" si="244"/>
        <v>4</v>
      </c>
      <c r="DN33" s="170" t="s">
        <v>90</v>
      </c>
      <c r="DO33" s="170">
        <f t="shared" si="245"/>
        <v>0</v>
      </c>
      <c r="DP33" s="170" t="s">
        <v>91</v>
      </c>
      <c r="DQ33" s="392">
        <f t="shared" si="246"/>
        <v>0</v>
      </c>
      <c r="DR33" s="138">
        <f>(42.6+43.8+39.6)/3</f>
        <v>42</v>
      </c>
      <c r="DS33" s="139">
        <f t="shared" si="247"/>
        <v>2</v>
      </c>
      <c r="DT33" s="150">
        <v>50</v>
      </c>
      <c r="DU33" s="139">
        <f t="shared" si="248"/>
        <v>4</v>
      </c>
      <c r="DV33" s="150">
        <v>50</v>
      </c>
      <c r="DW33" s="139">
        <f t="shared" si="249"/>
        <v>2</v>
      </c>
      <c r="DX33" s="150">
        <v>50</v>
      </c>
      <c r="DY33" s="407">
        <f t="shared" si="250"/>
        <v>4</v>
      </c>
      <c r="DZ33" s="142">
        <f t="shared" si="251"/>
        <v>75</v>
      </c>
      <c r="EA33" s="194">
        <f t="shared" si="252"/>
        <v>29</v>
      </c>
    </row>
    <row r="34">
      <c r="A34" s="104" t="s">
        <v>120</v>
      </c>
      <c r="B34" s="105" t="s">
        <v>89</v>
      </c>
      <c r="C34" s="105">
        <f t="shared" si="191"/>
        <v>4</v>
      </c>
      <c r="D34" s="105" t="s">
        <v>89</v>
      </c>
      <c r="E34" s="105">
        <f t="shared" si="192"/>
        <v>4</v>
      </c>
      <c r="F34" s="105" t="s">
        <v>91</v>
      </c>
      <c r="G34" s="105">
        <f t="shared" si="193"/>
        <v>0.5</v>
      </c>
      <c r="H34" s="105" t="s">
        <v>90</v>
      </c>
      <c r="I34" s="105">
        <f t="shared" si="194"/>
        <v>0</v>
      </c>
      <c r="J34" s="105" t="s">
        <v>90</v>
      </c>
      <c r="K34" s="105">
        <f t="shared" si="195"/>
        <v>0</v>
      </c>
      <c r="L34" s="105" t="s">
        <v>90</v>
      </c>
      <c r="M34" s="105">
        <f t="shared" si="196"/>
        <v>0</v>
      </c>
      <c r="N34" s="105" t="s">
        <v>89</v>
      </c>
      <c r="O34" s="105">
        <f t="shared" si="197"/>
        <v>4</v>
      </c>
      <c r="P34" s="105" t="s">
        <v>89</v>
      </c>
      <c r="Q34" s="105">
        <f t="shared" si="198"/>
        <v>0.5</v>
      </c>
      <c r="R34" s="105" t="s">
        <v>57</v>
      </c>
      <c r="S34" s="105">
        <f t="shared" si="199"/>
        <v>0</v>
      </c>
      <c r="T34" s="105" t="s">
        <v>89</v>
      </c>
      <c r="U34" s="105">
        <f t="shared" si="200"/>
        <v>0.5</v>
      </c>
      <c r="V34" s="105" t="s">
        <v>89</v>
      </c>
      <c r="W34" s="105">
        <f t="shared" si="201"/>
        <v>0.5</v>
      </c>
      <c r="X34" s="105" t="s">
        <v>89</v>
      </c>
      <c r="Y34" s="105">
        <f t="shared" si="202"/>
        <v>4</v>
      </c>
      <c r="Z34" s="105" t="s">
        <v>91</v>
      </c>
      <c r="AA34" s="105">
        <f t="shared" si="203"/>
        <v>0.5</v>
      </c>
      <c r="AB34" s="105" t="s">
        <v>57</v>
      </c>
      <c r="AC34" s="105">
        <f t="shared" si="204"/>
        <v>0</v>
      </c>
      <c r="AD34" s="105" t="s">
        <v>89</v>
      </c>
      <c r="AE34" s="105">
        <f t="shared" si="205"/>
        <v>4</v>
      </c>
      <c r="AF34" s="105">
        <v>2</v>
      </c>
      <c r="AG34" s="105">
        <f t="shared" si="206"/>
        <v>2</v>
      </c>
      <c r="AH34" s="105" t="s">
        <v>89</v>
      </c>
      <c r="AI34" s="105">
        <f t="shared" si="207"/>
        <v>4</v>
      </c>
      <c r="AJ34" s="105" t="s">
        <v>57</v>
      </c>
      <c r="AK34" s="105" t="s">
        <v>90</v>
      </c>
      <c r="AL34" s="108" t="s">
        <v>90</v>
      </c>
      <c r="AM34" s="437">
        <f t="shared" si="208"/>
        <v>4</v>
      </c>
      <c r="AN34" s="432">
        <v>0</v>
      </c>
      <c r="AO34" s="379">
        <f t="shared" si="209"/>
        <v>-2</v>
      </c>
      <c r="AP34" s="380">
        <v>54.100000000000001</v>
      </c>
      <c r="AQ34" s="379">
        <f t="shared" si="210"/>
        <v>4</v>
      </c>
      <c r="AR34" s="405">
        <v>0</v>
      </c>
      <c r="AS34" s="379">
        <f t="shared" si="253"/>
        <v>-2</v>
      </c>
      <c r="AT34" s="378">
        <v>1.8999999999999999</v>
      </c>
      <c r="AU34" s="379">
        <f t="shared" si="212"/>
        <v>0</v>
      </c>
      <c r="AV34" s="378">
        <v>28</v>
      </c>
      <c r="AW34" s="141">
        <f t="shared" si="213"/>
        <v>-4</v>
      </c>
      <c r="AX34" s="105" t="s">
        <v>89</v>
      </c>
      <c r="AY34" s="105">
        <f t="shared" si="214"/>
        <v>4</v>
      </c>
      <c r="AZ34" s="105" t="s">
        <v>89</v>
      </c>
      <c r="BA34" s="105">
        <f t="shared" si="215"/>
        <v>0.5</v>
      </c>
      <c r="BB34" s="105" t="s">
        <v>89</v>
      </c>
      <c r="BC34" s="105">
        <f t="shared" si="216"/>
        <v>0.5</v>
      </c>
      <c r="BD34" s="105" t="s">
        <v>89</v>
      </c>
      <c r="BE34" s="105">
        <f t="shared" si="217"/>
        <v>0.5</v>
      </c>
      <c r="BF34" s="105" t="s">
        <v>89</v>
      </c>
      <c r="BG34" s="105">
        <f t="shared" si="218"/>
        <v>0.5</v>
      </c>
      <c r="BH34" s="105" t="s">
        <v>57</v>
      </c>
      <c r="BI34" s="105">
        <f t="shared" si="219"/>
        <v>0</v>
      </c>
      <c r="BJ34" s="105" t="s">
        <v>89</v>
      </c>
      <c r="BK34" s="105">
        <f t="shared" si="220"/>
        <v>4</v>
      </c>
      <c r="BL34" s="105" t="s">
        <v>91</v>
      </c>
      <c r="BM34" s="105">
        <f t="shared" si="221"/>
        <v>0.5</v>
      </c>
      <c r="BN34" s="105" t="s">
        <v>90</v>
      </c>
      <c r="BO34" s="105">
        <f t="shared" si="222"/>
        <v>0</v>
      </c>
      <c r="BP34" s="105" t="s">
        <v>90</v>
      </c>
      <c r="BQ34" s="107">
        <f t="shared" si="223"/>
        <v>0</v>
      </c>
      <c r="BR34" s="438">
        <v>703.32000000000005</v>
      </c>
      <c r="BS34" s="439">
        <v>734.52999999999997</v>
      </c>
      <c r="BT34" s="383">
        <f t="shared" si="224"/>
        <v>2</v>
      </c>
      <c r="BU34" s="117" t="s">
        <v>90</v>
      </c>
      <c r="BV34" s="117">
        <f t="shared" si="225"/>
        <v>0</v>
      </c>
      <c r="BW34" s="435" t="s">
        <v>90</v>
      </c>
      <c r="BX34" s="227">
        <f t="shared" si="226"/>
        <v>0</v>
      </c>
      <c r="BY34" s="436" t="s">
        <v>90</v>
      </c>
      <c r="BZ34" s="440">
        <f t="shared" si="227"/>
        <v>0</v>
      </c>
      <c r="CA34" s="436" t="s">
        <v>91</v>
      </c>
      <c r="CB34" s="117">
        <f t="shared" si="228"/>
        <v>0</v>
      </c>
      <c r="CC34" s="117" t="s">
        <v>90</v>
      </c>
      <c r="CD34" s="117">
        <f t="shared" si="229"/>
        <v>0</v>
      </c>
      <c r="CE34" s="117" t="s">
        <v>90</v>
      </c>
      <c r="CF34" s="433">
        <f t="shared" si="230"/>
        <v>0</v>
      </c>
      <c r="CG34" s="384">
        <v>277.13</v>
      </c>
      <c r="CH34" s="119">
        <v>151.11000000000001</v>
      </c>
      <c r="CI34" s="385">
        <f t="shared" si="231"/>
        <v>-2</v>
      </c>
      <c r="CJ34" s="386">
        <v>30406</v>
      </c>
      <c r="CK34" s="386">
        <v>41078.339999999997</v>
      </c>
      <c r="CL34" s="387">
        <f t="shared" si="232"/>
        <v>4</v>
      </c>
      <c r="CM34" s="123" t="s">
        <v>90</v>
      </c>
      <c r="CN34" s="123">
        <f t="shared" si="233"/>
        <v>0</v>
      </c>
      <c r="CO34" s="123" t="s">
        <v>90</v>
      </c>
      <c r="CP34" s="123">
        <f t="shared" si="234"/>
        <v>0</v>
      </c>
      <c r="CQ34" s="123" t="s">
        <v>90</v>
      </c>
      <c r="CR34" s="123">
        <f t="shared" si="235"/>
        <v>0</v>
      </c>
      <c r="CS34" s="123" t="s">
        <v>91</v>
      </c>
      <c r="CT34" s="123">
        <f t="shared" si="236"/>
        <v>-2</v>
      </c>
      <c r="CU34" s="146">
        <v>1611.6869999999999</v>
      </c>
      <c r="CV34" s="121">
        <v>603.94000000000005</v>
      </c>
      <c r="CW34" s="388">
        <f t="shared" si="237"/>
        <v>-2</v>
      </c>
      <c r="CX34" s="147">
        <v>118.8</v>
      </c>
      <c r="CY34" s="411">
        <f t="shared" si="238"/>
        <v>6</v>
      </c>
      <c r="CZ34" s="441">
        <v>177174</v>
      </c>
      <c r="DA34" s="442">
        <v>207663</v>
      </c>
      <c r="DB34" s="416">
        <f t="shared" si="239"/>
        <v>6</v>
      </c>
      <c r="DC34" s="139">
        <v>-2</v>
      </c>
      <c r="DD34" s="141" t="s">
        <v>89</v>
      </c>
      <c r="DE34" s="183">
        <f t="shared" si="240"/>
        <v>4</v>
      </c>
      <c r="DF34" s="400">
        <v>84</v>
      </c>
      <c r="DG34" s="183">
        <f t="shared" si="241"/>
        <v>4</v>
      </c>
      <c r="DH34" s="117" t="s">
        <v>57</v>
      </c>
      <c r="DI34" s="390">
        <f t="shared" si="242"/>
        <v>0</v>
      </c>
      <c r="DJ34" s="133" t="s">
        <v>57</v>
      </c>
      <c r="DK34" s="391">
        <f t="shared" si="243"/>
        <v>0</v>
      </c>
      <c r="DL34" s="133" t="s">
        <v>89</v>
      </c>
      <c r="DM34" s="391">
        <f t="shared" si="244"/>
        <v>4</v>
      </c>
      <c r="DN34" s="170" t="s">
        <v>90</v>
      </c>
      <c r="DO34" s="170">
        <f t="shared" si="245"/>
        <v>0</v>
      </c>
      <c r="DP34" s="170" t="s">
        <v>91</v>
      </c>
      <c r="DQ34" s="392">
        <f t="shared" si="246"/>
        <v>0</v>
      </c>
      <c r="DR34" s="138">
        <f>(43.3+35.5+48.4)/3</f>
        <v>42.399999999999999</v>
      </c>
      <c r="DS34" s="139">
        <f t="shared" si="247"/>
        <v>2</v>
      </c>
      <c r="DT34" s="150">
        <v>66.700000000000003</v>
      </c>
      <c r="DU34" s="139">
        <f t="shared" si="248"/>
        <v>4</v>
      </c>
      <c r="DV34" s="150">
        <v>50</v>
      </c>
      <c r="DW34" s="139">
        <f t="shared" si="249"/>
        <v>2</v>
      </c>
      <c r="DX34" s="150">
        <v>50</v>
      </c>
      <c r="DY34" s="407">
        <f t="shared" si="250"/>
        <v>4</v>
      </c>
      <c r="DZ34" s="142">
        <f t="shared" si="251"/>
        <v>73</v>
      </c>
      <c r="EA34" s="194">
        <f t="shared" si="252"/>
        <v>30</v>
      </c>
    </row>
    <row r="35">
      <c r="A35" s="443" t="s">
        <v>121</v>
      </c>
      <c r="B35" s="444"/>
      <c r="C35" s="445"/>
      <c r="D35" s="444"/>
      <c r="E35" s="445"/>
      <c r="F35" s="443"/>
      <c r="G35" s="445"/>
      <c r="H35" s="443"/>
      <c r="I35" s="445"/>
      <c r="J35" s="443"/>
      <c r="K35" s="445"/>
      <c r="L35" s="443"/>
      <c r="M35" s="445"/>
      <c r="N35" s="444"/>
      <c r="O35" s="443"/>
      <c r="P35" s="444"/>
      <c r="Q35" s="443"/>
      <c r="R35" s="444"/>
      <c r="S35" s="443"/>
      <c r="T35" s="444"/>
      <c r="U35" s="443"/>
      <c r="V35" s="444"/>
      <c r="W35" s="443"/>
      <c r="X35" s="444"/>
      <c r="Y35" s="443"/>
      <c r="Z35" s="443"/>
      <c r="AA35" s="443"/>
      <c r="AB35" s="444"/>
      <c r="AC35" s="443"/>
      <c r="AD35" s="444"/>
      <c r="AE35" s="443"/>
      <c r="AF35" s="443"/>
      <c r="AG35" s="443"/>
      <c r="AH35" s="444"/>
      <c r="AI35" s="443"/>
      <c r="AJ35" s="444"/>
      <c r="AK35" s="444"/>
      <c r="AL35" s="443"/>
      <c r="AM35" s="446"/>
      <c r="AN35" s="446"/>
      <c r="AO35" s="444"/>
      <c r="AP35" s="446"/>
      <c r="AQ35" s="443"/>
      <c r="AR35" s="446"/>
      <c r="AS35" s="443"/>
      <c r="AT35" s="446"/>
      <c r="AU35" s="447"/>
      <c r="AV35" s="200"/>
      <c r="AW35" s="448"/>
      <c r="AX35" s="444"/>
      <c r="AY35" s="443"/>
      <c r="AZ35" s="444"/>
      <c r="BA35" s="443"/>
      <c r="BB35" s="444"/>
      <c r="BC35" s="443"/>
      <c r="BD35" s="444"/>
      <c r="BE35" s="443"/>
      <c r="BF35" s="444"/>
      <c r="BG35" s="443"/>
      <c r="BH35" s="444"/>
      <c r="BI35" s="443"/>
      <c r="BJ35" s="444"/>
      <c r="BK35" s="443"/>
      <c r="BL35" s="443"/>
      <c r="BM35" s="443"/>
      <c r="BN35" s="443"/>
      <c r="BO35" s="443"/>
      <c r="BP35" s="443"/>
      <c r="BQ35" s="447"/>
      <c r="BR35" s="449"/>
      <c r="BS35" s="450"/>
      <c r="BT35" s="237"/>
      <c r="BU35" s="451"/>
      <c r="BV35" s="451"/>
      <c r="BW35" s="451"/>
      <c r="BX35" s="200"/>
      <c r="BY35" s="200"/>
      <c r="BZ35" s="452"/>
      <c r="CA35" s="453"/>
      <c r="CB35" s="444"/>
      <c r="CC35" s="444"/>
      <c r="CD35" s="444"/>
      <c r="CE35" s="454"/>
      <c r="CF35" s="455"/>
      <c r="CG35" s="239"/>
      <c r="CH35" s="456"/>
      <c r="CI35" s="457"/>
      <c r="CJ35" s="458"/>
      <c r="CK35" s="458"/>
      <c r="CL35" s="459"/>
      <c r="CM35" s="244"/>
      <c r="CN35" s="244"/>
      <c r="CO35" s="244"/>
      <c r="CP35" s="244"/>
      <c r="CQ35" s="244"/>
      <c r="CR35" s="244"/>
      <c r="CS35" s="460"/>
      <c r="CT35" s="461"/>
      <c r="CU35" s="462"/>
      <c r="CV35" s="462"/>
      <c r="CW35" s="457"/>
      <c r="CX35" s="463"/>
      <c r="CY35" s="239"/>
      <c r="CZ35" s="464"/>
      <c r="DA35" s="248"/>
      <c r="DB35" s="465"/>
      <c r="DC35" s="239"/>
      <c r="DD35" s="466"/>
      <c r="DE35" s="465"/>
      <c r="DF35" s="244"/>
      <c r="DG35" s="467"/>
      <c r="DH35" s="468"/>
      <c r="DI35" s="244"/>
      <c r="DJ35" s="469"/>
      <c r="DK35" s="470"/>
      <c r="DL35" s="458"/>
      <c r="DM35" s="470"/>
      <c r="DN35" s="458"/>
      <c r="DO35" s="458"/>
      <c r="DP35" s="458"/>
      <c r="DQ35" s="470"/>
      <c r="DR35" s="447"/>
      <c r="DS35" s="200"/>
      <c r="DT35" s="200"/>
      <c r="DU35" s="200"/>
      <c r="DV35" s="200"/>
      <c r="DW35" s="200"/>
      <c r="DX35" s="200"/>
      <c r="DY35" s="200"/>
      <c r="DZ35" s="455"/>
      <c r="EA35" s="239"/>
    </row>
    <row r="36" s="319" customFormat="1">
      <c r="A36" s="471" t="s">
        <v>122</v>
      </c>
      <c r="B36" s="321" t="s">
        <v>89</v>
      </c>
      <c r="C36" s="472">
        <f t="shared" si="191"/>
        <v>4</v>
      </c>
      <c r="D36" s="321" t="s">
        <v>89</v>
      </c>
      <c r="E36" s="323">
        <f t="shared" si="192"/>
        <v>4</v>
      </c>
      <c r="F36" s="347" t="s">
        <v>90</v>
      </c>
      <c r="G36" s="347">
        <f t="shared" si="193"/>
        <v>0</v>
      </c>
      <c r="H36" s="347" t="s">
        <v>91</v>
      </c>
      <c r="I36" s="347">
        <f t="shared" si="194"/>
        <v>1</v>
      </c>
      <c r="J36" s="347" t="s">
        <v>91</v>
      </c>
      <c r="K36" s="347">
        <f t="shared" si="195"/>
        <v>0.5</v>
      </c>
      <c r="L36" s="347" t="s">
        <v>90</v>
      </c>
      <c r="M36" s="473">
        <f t="shared" si="196"/>
        <v>0</v>
      </c>
      <c r="N36" s="321" t="s">
        <v>89</v>
      </c>
      <c r="O36" s="472">
        <f t="shared" si="197"/>
        <v>4</v>
      </c>
      <c r="P36" s="321" t="s">
        <v>89</v>
      </c>
      <c r="Q36" s="472">
        <f t="shared" si="198"/>
        <v>0.5</v>
      </c>
      <c r="R36" s="321" t="s">
        <v>89</v>
      </c>
      <c r="S36" s="472">
        <f t="shared" si="199"/>
        <v>0.5</v>
      </c>
      <c r="T36" s="321" t="s">
        <v>89</v>
      </c>
      <c r="U36" s="472">
        <f t="shared" si="200"/>
        <v>0.5</v>
      </c>
      <c r="V36" s="321" t="s">
        <v>89</v>
      </c>
      <c r="W36" s="472">
        <f t="shared" si="201"/>
        <v>0.5</v>
      </c>
      <c r="X36" s="321" t="s">
        <v>89</v>
      </c>
      <c r="Y36" s="323">
        <f t="shared" si="202"/>
        <v>4</v>
      </c>
      <c r="Z36" s="347" t="s">
        <v>91</v>
      </c>
      <c r="AA36" s="473">
        <f t="shared" si="203"/>
        <v>0.5</v>
      </c>
      <c r="AB36" s="321" t="s">
        <v>89</v>
      </c>
      <c r="AC36" s="472">
        <f t="shared" si="204"/>
        <v>4</v>
      </c>
      <c r="AD36" s="321" t="s">
        <v>89</v>
      </c>
      <c r="AE36" s="323">
        <f t="shared" si="205"/>
        <v>4</v>
      </c>
      <c r="AF36" s="347">
        <v>10</v>
      </c>
      <c r="AG36" s="473">
        <f t="shared" si="206"/>
        <v>10</v>
      </c>
      <c r="AH36" s="321" t="s">
        <v>89</v>
      </c>
      <c r="AI36" s="472">
        <f t="shared" si="207"/>
        <v>4</v>
      </c>
      <c r="AJ36" s="321" t="s">
        <v>90</v>
      </c>
      <c r="AK36" s="474" t="s">
        <v>90</v>
      </c>
      <c r="AL36" s="475" t="s">
        <v>89</v>
      </c>
      <c r="AM36" s="347">
        <f t="shared" si="208"/>
        <v>-2</v>
      </c>
      <c r="AN36" s="324">
        <v>82</v>
      </c>
      <c r="AO36" s="325">
        <f t="shared" si="209"/>
        <v>4</v>
      </c>
      <c r="AP36" s="326">
        <v>60.700000000000003</v>
      </c>
      <c r="AQ36" s="476">
        <f t="shared" si="210"/>
        <v>4</v>
      </c>
      <c r="AR36" s="324">
        <v>3.1000000000000001</v>
      </c>
      <c r="AS36" s="476">
        <f t="shared" si="253"/>
        <v>4</v>
      </c>
      <c r="AT36" s="324">
        <v>3</v>
      </c>
      <c r="AU36" s="476">
        <f t="shared" si="212"/>
        <v>4</v>
      </c>
      <c r="AV36" s="324">
        <v>9.6999999999999993</v>
      </c>
      <c r="AW36" s="473">
        <f t="shared" si="213"/>
        <v>2</v>
      </c>
      <c r="AX36" s="321" t="s">
        <v>89</v>
      </c>
      <c r="AY36" s="472">
        <f t="shared" si="214"/>
        <v>4</v>
      </c>
      <c r="AZ36" s="321" t="s">
        <v>89</v>
      </c>
      <c r="BA36" s="472">
        <f t="shared" si="215"/>
        <v>0.5</v>
      </c>
      <c r="BB36" s="321" t="s">
        <v>89</v>
      </c>
      <c r="BC36" s="472">
        <f t="shared" si="216"/>
        <v>0.5</v>
      </c>
      <c r="BD36" s="321" t="s">
        <v>89</v>
      </c>
      <c r="BE36" s="472">
        <f t="shared" si="217"/>
        <v>0.5</v>
      </c>
      <c r="BF36" s="321" t="s">
        <v>89</v>
      </c>
      <c r="BG36" s="472">
        <f t="shared" si="218"/>
        <v>0.5</v>
      </c>
      <c r="BH36" s="321" t="s">
        <v>89</v>
      </c>
      <c r="BI36" s="472">
        <f t="shared" si="219"/>
        <v>0.5</v>
      </c>
      <c r="BJ36" s="321" t="s">
        <v>89</v>
      </c>
      <c r="BK36" s="323">
        <f t="shared" si="220"/>
        <v>4</v>
      </c>
      <c r="BL36" s="347" t="s">
        <v>90</v>
      </c>
      <c r="BM36" s="347">
        <f t="shared" si="221"/>
        <v>0</v>
      </c>
      <c r="BN36" s="347" t="s">
        <v>90</v>
      </c>
      <c r="BO36" s="347">
        <f t="shared" si="222"/>
        <v>0</v>
      </c>
      <c r="BP36" s="347" t="s">
        <v>91</v>
      </c>
      <c r="BQ36" s="477">
        <f t="shared" si="223"/>
        <v>1.5</v>
      </c>
      <c r="BR36" s="324">
        <v>217808.5</v>
      </c>
      <c r="BS36" s="324">
        <v>338872</v>
      </c>
      <c r="BT36" s="478">
        <f t="shared" si="224"/>
        <v>4</v>
      </c>
      <c r="BU36" s="331" t="s">
        <v>91</v>
      </c>
      <c r="BV36" s="331">
        <f t="shared" si="225"/>
        <v>6</v>
      </c>
      <c r="BW36" s="479" t="s">
        <v>90</v>
      </c>
      <c r="BX36" s="480">
        <f t="shared" si="226"/>
        <v>0</v>
      </c>
      <c r="BY36" s="481" t="s">
        <v>90</v>
      </c>
      <c r="BZ36" s="479">
        <f t="shared" si="227"/>
        <v>0</v>
      </c>
      <c r="CA36" s="481" t="s">
        <v>90</v>
      </c>
      <c r="CB36" s="331">
        <f t="shared" si="228"/>
        <v>0</v>
      </c>
      <c r="CC36" s="331" t="s">
        <v>90</v>
      </c>
      <c r="CD36" s="331">
        <f t="shared" si="229"/>
        <v>0</v>
      </c>
      <c r="CE36" s="331" t="s">
        <v>91</v>
      </c>
      <c r="CF36" s="331">
        <f t="shared" si="230"/>
        <v>4</v>
      </c>
      <c r="CG36" s="332">
        <v>277.13</v>
      </c>
      <c r="CH36" s="333">
        <v>691.21000000000004</v>
      </c>
      <c r="CI36" s="347">
        <f t="shared" si="231"/>
        <v>4</v>
      </c>
      <c r="CJ36" s="335">
        <v>1376007</v>
      </c>
      <c r="CK36" s="335">
        <v>1431002.3600000001</v>
      </c>
      <c r="CL36" s="337">
        <f t="shared" si="232"/>
        <v>2</v>
      </c>
      <c r="CM36" s="337" t="s">
        <v>91</v>
      </c>
      <c r="CN36" s="337">
        <f t="shared" si="233"/>
        <v>6</v>
      </c>
      <c r="CO36" s="337" t="s">
        <v>90</v>
      </c>
      <c r="CP36" s="337">
        <f t="shared" si="234"/>
        <v>0</v>
      </c>
      <c r="CQ36" s="337" t="s">
        <v>90</v>
      </c>
      <c r="CR36" s="337">
        <f t="shared" si="235"/>
        <v>0</v>
      </c>
      <c r="CS36" s="337" t="s">
        <v>90</v>
      </c>
      <c r="CT36" s="337">
        <f t="shared" si="236"/>
        <v>0</v>
      </c>
      <c r="CU36" s="338">
        <v>9407.2909999999993</v>
      </c>
      <c r="CV36" s="338">
        <v>2895.8600000000001</v>
      </c>
      <c r="CW36" s="478">
        <f t="shared" si="237"/>
        <v>-2</v>
      </c>
      <c r="CX36" s="357">
        <v>117.09999999999999</v>
      </c>
      <c r="CY36" s="341">
        <f t="shared" si="238"/>
        <v>6</v>
      </c>
      <c r="CZ36" s="335">
        <v>181684719</v>
      </c>
      <c r="DA36" s="342">
        <v>214744937</v>
      </c>
      <c r="DB36" s="323">
        <f t="shared" si="239"/>
        <v>6</v>
      </c>
      <c r="DC36" s="347">
        <v>0</v>
      </c>
      <c r="DD36" s="353" t="s">
        <v>89</v>
      </c>
      <c r="DE36" s="472">
        <f t="shared" si="240"/>
        <v>4</v>
      </c>
      <c r="DF36" s="482">
        <v>72.700000000000003</v>
      </c>
      <c r="DG36" s="375">
        <f t="shared" si="241"/>
        <v>4</v>
      </c>
      <c r="DH36" s="331" t="s">
        <v>57</v>
      </c>
      <c r="DI36" s="346">
        <f t="shared" si="242"/>
        <v>0</v>
      </c>
      <c r="DJ36" s="347" t="s">
        <v>89</v>
      </c>
      <c r="DK36" s="374">
        <f t="shared" si="243"/>
        <v>4</v>
      </c>
      <c r="DL36" s="347" t="s">
        <v>89</v>
      </c>
      <c r="DM36" s="374">
        <f t="shared" si="244"/>
        <v>4</v>
      </c>
      <c r="DN36" s="374" t="s">
        <v>90</v>
      </c>
      <c r="DO36" s="374">
        <f t="shared" si="245"/>
        <v>0</v>
      </c>
      <c r="DP36" s="374" t="s">
        <v>91</v>
      </c>
      <c r="DQ36" s="374">
        <f t="shared" si="246"/>
        <v>0</v>
      </c>
      <c r="DR36" s="360">
        <f>(59+55.6+55.1)/3</f>
        <v>56.566666666666663</v>
      </c>
      <c r="DS36" s="347">
        <f t="shared" si="247"/>
        <v>4</v>
      </c>
      <c r="DT36" s="360">
        <v>72.599999999999994</v>
      </c>
      <c r="DU36" s="347">
        <f t="shared" si="248"/>
        <v>4</v>
      </c>
      <c r="DV36" s="360">
        <v>30.699999999999999</v>
      </c>
      <c r="DW36" s="347">
        <f t="shared" si="249"/>
        <v>1</v>
      </c>
      <c r="DX36" s="360">
        <v>26.600000000000001</v>
      </c>
      <c r="DY36" s="473">
        <f t="shared" si="250"/>
        <v>1</v>
      </c>
      <c r="DZ36" s="483">
        <f t="shared" si="251"/>
        <v>132</v>
      </c>
      <c r="EA36" s="484">
        <f t="shared" ref="EA36:EA40" si="254">RANK(DZ36,DZ$36:DZ$40,0)</f>
        <v>1</v>
      </c>
      <c r="EB36" s="319"/>
    </row>
    <row r="37" s="319" customFormat="1">
      <c r="A37" s="471" t="s">
        <v>123</v>
      </c>
      <c r="B37" s="321" t="s">
        <v>89</v>
      </c>
      <c r="C37" s="472">
        <f t="shared" si="191"/>
        <v>4</v>
      </c>
      <c r="D37" s="321" t="s">
        <v>89</v>
      </c>
      <c r="E37" s="323">
        <f t="shared" si="192"/>
        <v>4</v>
      </c>
      <c r="F37" s="347" t="s">
        <v>90</v>
      </c>
      <c r="G37" s="347">
        <f t="shared" si="193"/>
        <v>0</v>
      </c>
      <c r="H37" s="347" t="s">
        <v>91</v>
      </c>
      <c r="I37" s="347">
        <f t="shared" si="194"/>
        <v>1</v>
      </c>
      <c r="J37" s="347" t="s">
        <v>91</v>
      </c>
      <c r="K37" s="347">
        <f t="shared" si="195"/>
        <v>0.5</v>
      </c>
      <c r="L37" s="347" t="s">
        <v>90</v>
      </c>
      <c r="M37" s="473">
        <f t="shared" si="196"/>
        <v>0</v>
      </c>
      <c r="N37" s="321" t="s">
        <v>89</v>
      </c>
      <c r="O37" s="472">
        <f t="shared" si="197"/>
        <v>4</v>
      </c>
      <c r="P37" s="321" t="s">
        <v>89</v>
      </c>
      <c r="Q37" s="472">
        <f t="shared" si="198"/>
        <v>0.5</v>
      </c>
      <c r="R37" s="321" t="s">
        <v>89</v>
      </c>
      <c r="S37" s="472">
        <f t="shared" si="199"/>
        <v>0.5</v>
      </c>
      <c r="T37" s="321" t="s">
        <v>89</v>
      </c>
      <c r="U37" s="472">
        <f t="shared" si="200"/>
        <v>0.5</v>
      </c>
      <c r="V37" s="321" t="s">
        <v>89</v>
      </c>
      <c r="W37" s="472">
        <f t="shared" si="201"/>
        <v>0.5</v>
      </c>
      <c r="X37" s="321" t="s">
        <v>89</v>
      </c>
      <c r="Y37" s="323">
        <f t="shared" si="202"/>
        <v>4</v>
      </c>
      <c r="Z37" s="347" t="s">
        <v>91</v>
      </c>
      <c r="AA37" s="473">
        <f t="shared" si="203"/>
        <v>0.5</v>
      </c>
      <c r="AB37" s="321" t="s">
        <v>89</v>
      </c>
      <c r="AC37" s="472">
        <f t="shared" si="204"/>
        <v>4</v>
      </c>
      <c r="AD37" s="321" t="s">
        <v>89</v>
      </c>
      <c r="AE37" s="323">
        <f t="shared" si="205"/>
        <v>4</v>
      </c>
      <c r="AF37" s="347">
        <v>3</v>
      </c>
      <c r="AG37" s="473">
        <f t="shared" si="206"/>
        <v>3</v>
      </c>
      <c r="AH37" s="321" t="s">
        <v>89</v>
      </c>
      <c r="AI37" s="472">
        <f t="shared" si="207"/>
        <v>4</v>
      </c>
      <c r="AJ37" s="321" t="s">
        <v>57</v>
      </c>
      <c r="AK37" s="321" t="s">
        <v>90</v>
      </c>
      <c r="AL37" s="474" t="s">
        <v>90</v>
      </c>
      <c r="AM37" s="347">
        <f t="shared" si="208"/>
        <v>4</v>
      </c>
      <c r="AN37" s="347">
        <v>83.5</v>
      </c>
      <c r="AO37" s="325">
        <f t="shared" si="209"/>
        <v>4</v>
      </c>
      <c r="AP37" s="326">
        <v>64.400000000000006</v>
      </c>
      <c r="AQ37" s="476">
        <f t="shared" si="210"/>
        <v>4</v>
      </c>
      <c r="AR37" s="324">
        <v>2.6000000000000001</v>
      </c>
      <c r="AS37" s="476">
        <f t="shared" si="253"/>
        <v>4</v>
      </c>
      <c r="AT37" s="324">
        <v>3.7999999999999998</v>
      </c>
      <c r="AU37" s="476">
        <f t="shared" si="212"/>
        <v>4</v>
      </c>
      <c r="AV37" s="324">
        <v>6.2000000000000002</v>
      </c>
      <c r="AW37" s="473">
        <f t="shared" si="213"/>
        <v>2</v>
      </c>
      <c r="AX37" s="321" t="s">
        <v>89</v>
      </c>
      <c r="AY37" s="472">
        <f t="shared" si="214"/>
        <v>4</v>
      </c>
      <c r="AZ37" s="321" t="s">
        <v>89</v>
      </c>
      <c r="BA37" s="472">
        <f t="shared" si="215"/>
        <v>0.5</v>
      </c>
      <c r="BB37" s="321" t="s">
        <v>89</v>
      </c>
      <c r="BC37" s="472">
        <f t="shared" si="216"/>
        <v>0.5</v>
      </c>
      <c r="BD37" s="321" t="s">
        <v>89</v>
      </c>
      <c r="BE37" s="472">
        <f t="shared" si="217"/>
        <v>0.5</v>
      </c>
      <c r="BF37" s="321" t="s">
        <v>89</v>
      </c>
      <c r="BG37" s="472">
        <f t="shared" si="218"/>
        <v>0.5</v>
      </c>
      <c r="BH37" s="321" t="s">
        <v>89</v>
      </c>
      <c r="BI37" s="472">
        <f t="shared" si="219"/>
        <v>0.5</v>
      </c>
      <c r="BJ37" s="321" t="s">
        <v>89</v>
      </c>
      <c r="BK37" s="323">
        <f t="shared" si="220"/>
        <v>4</v>
      </c>
      <c r="BL37" s="347" t="s">
        <v>90</v>
      </c>
      <c r="BM37" s="347">
        <f t="shared" si="221"/>
        <v>0</v>
      </c>
      <c r="BN37" s="347" t="s">
        <v>91</v>
      </c>
      <c r="BO37" s="347">
        <f t="shared" si="222"/>
        <v>1</v>
      </c>
      <c r="BP37" s="347" t="s">
        <v>90</v>
      </c>
      <c r="BQ37" s="477">
        <f t="shared" si="223"/>
        <v>0</v>
      </c>
      <c r="BR37" s="324">
        <v>12765.459999999999</v>
      </c>
      <c r="BS37" s="328">
        <v>14084.709999999999</v>
      </c>
      <c r="BT37" s="330">
        <f t="shared" si="224"/>
        <v>4</v>
      </c>
      <c r="BU37" s="331" t="s">
        <v>90</v>
      </c>
      <c r="BV37" s="331">
        <f t="shared" si="225"/>
        <v>0</v>
      </c>
      <c r="BW37" s="479" t="s">
        <v>91</v>
      </c>
      <c r="BX37" s="480">
        <f t="shared" si="226"/>
        <v>4</v>
      </c>
      <c r="BY37" s="481" t="s">
        <v>90</v>
      </c>
      <c r="BZ37" s="479">
        <f t="shared" si="227"/>
        <v>0</v>
      </c>
      <c r="CA37" s="481" t="s">
        <v>90</v>
      </c>
      <c r="CB37" s="331">
        <f t="shared" si="228"/>
        <v>0</v>
      </c>
      <c r="CC37" s="331" t="s">
        <v>91</v>
      </c>
      <c r="CD37" s="331">
        <f t="shared" si="229"/>
        <v>0.5</v>
      </c>
      <c r="CE37" s="331" t="s">
        <v>90</v>
      </c>
      <c r="CF37" s="331">
        <f t="shared" si="230"/>
        <v>0</v>
      </c>
      <c r="CG37" s="332">
        <v>277.13</v>
      </c>
      <c r="CH37" s="333">
        <v>535.50999999999999</v>
      </c>
      <c r="CI37" s="347">
        <f t="shared" si="231"/>
        <v>4</v>
      </c>
      <c r="CJ37" s="335">
        <v>408831</v>
      </c>
      <c r="CK37" s="335">
        <v>458852.63</v>
      </c>
      <c r="CL37" s="337">
        <f t="shared" si="232"/>
        <v>4</v>
      </c>
      <c r="CM37" s="337" t="s">
        <v>91</v>
      </c>
      <c r="CN37" s="337">
        <f t="shared" si="233"/>
        <v>6</v>
      </c>
      <c r="CO37" s="337" t="s">
        <v>90</v>
      </c>
      <c r="CP37" s="337">
        <f t="shared" si="234"/>
        <v>0</v>
      </c>
      <c r="CQ37" s="337" t="s">
        <v>90</v>
      </c>
      <c r="CR37" s="337">
        <f t="shared" si="235"/>
        <v>0</v>
      </c>
      <c r="CS37" s="337" t="s">
        <v>90</v>
      </c>
      <c r="CT37" s="337">
        <f t="shared" si="236"/>
        <v>0</v>
      </c>
      <c r="CU37" s="338">
        <v>2168.8150000000001</v>
      </c>
      <c r="CV37" s="338">
        <v>967.46000000000004</v>
      </c>
      <c r="CW37" s="478">
        <f t="shared" si="237"/>
        <v>-2</v>
      </c>
      <c r="CX37" s="340">
        <v>117</v>
      </c>
      <c r="CY37" s="329">
        <f t="shared" si="238"/>
        <v>6</v>
      </c>
      <c r="CZ37" s="335">
        <v>4024468</v>
      </c>
      <c r="DA37" s="342">
        <v>6526454</v>
      </c>
      <c r="DB37" s="323">
        <f t="shared" si="239"/>
        <v>6</v>
      </c>
      <c r="DC37" s="347">
        <v>-2</v>
      </c>
      <c r="DD37" s="353" t="s">
        <v>89</v>
      </c>
      <c r="DE37" s="472">
        <f t="shared" si="240"/>
        <v>4</v>
      </c>
      <c r="DF37" s="485">
        <v>91.799999999999997</v>
      </c>
      <c r="DG37" s="375">
        <f t="shared" si="241"/>
        <v>4</v>
      </c>
      <c r="DH37" s="331" t="s">
        <v>89</v>
      </c>
      <c r="DI37" s="346">
        <f t="shared" si="242"/>
        <v>1</v>
      </c>
      <c r="DJ37" s="347" t="s">
        <v>89</v>
      </c>
      <c r="DK37" s="374">
        <f t="shared" si="243"/>
        <v>4</v>
      </c>
      <c r="DL37" s="347" t="s">
        <v>89</v>
      </c>
      <c r="DM37" s="374">
        <f t="shared" si="244"/>
        <v>4</v>
      </c>
      <c r="DN37" s="374" t="s">
        <v>90</v>
      </c>
      <c r="DO37" s="374">
        <f t="shared" si="245"/>
        <v>0</v>
      </c>
      <c r="DP37" s="374" t="s">
        <v>91</v>
      </c>
      <c r="DQ37" s="374">
        <f t="shared" si="246"/>
        <v>0</v>
      </c>
      <c r="DR37" s="360">
        <f>(42.9+35.9+39.1)/3</f>
        <v>39.300000000000004</v>
      </c>
      <c r="DS37" s="347">
        <f t="shared" si="247"/>
        <v>2</v>
      </c>
      <c r="DT37" s="360">
        <v>58.299999999999997</v>
      </c>
      <c r="DU37" s="347">
        <f t="shared" si="248"/>
        <v>4</v>
      </c>
      <c r="DV37" s="360">
        <v>33.299999999999997</v>
      </c>
      <c r="DW37" s="347">
        <f t="shared" si="249"/>
        <v>1</v>
      </c>
      <c r="DX37" s="360">
        <v>25</v>
      </c>
      <c r="DY37" s="473">
        <f t="shared" si="250"/>
        <v>1</v>
      </c>
      <c r="DZ37" s="483">
        <f t="shared" si="251"/>
        <v>124</v>
      </c>
      <c r="EA37" s="484">
        <f t="shared" si="254"/>
        <v>2</v>
      </c>
      <c r="EB37" s="319"/>
    </row>
    <row r="38" s="319" customFormat="1">
      <c r="A38" s="471" t="s">
        <v>124</v>
      </c>
      <c r="B38" s="321" t="s">
        <v>89</v>
      </c>
      <c r="C38" s="472">
        <f t="shared" si="191"/>
        <v>4</v>
      </c>
      <c r="D38" s="321" t="s">
        <v>89</v>
      </c>
      <c r="E38" s="323">
        <f t="shared" si="192"/>
        <v>4</v>
      </c>
      <c r="F38" s="347" t="s">
        <v>91</v>
      </c>
      <c r="G38" s="347">
        <f t="shared" si="193"/>
        <v>0.5</v>
      </c>
      <c r="H38" s="347" t="s">
        <v>90</v>
      </c>
      <c r="I38" s="347">
        <f t="shared" si="194"/>
        <v>0</v>
      </c>
      <c r="J38" s="347" t="s">
        <v>91</v>
      </c>
      <c r="K38" s="347">
        <f t="shared" si="195"/>
        <v>0.5</v>
      </c>
      <c r="L38" s="347" t="s">
        <v>90</v>
      </c>
      <c r="M38" s="473">
        <f t="shared" si="196"/>
        <v>0</v>
      </c>
      <c r="N38" s="321" t="s">
        <v>89</v>
      </c>
      <c r="O38" s="472">
        <f t="shared" si="197"/>
        <v>4</v>
      </c>
      <c r="P38" s="321" t="s">
        <v>89</v>
      </c>
      <c r="Q38" s="323">
        <f t="shared" si="198"/>
        <v>0.5</v>
      </c>
      <c r="R38" s="334" t="s">
        <v>89</v>
      </c>
      <c r="S38" s="347">
        <f t="shared" si="199"/>
        <v>0.5</v>
      </c>
      <c r="T38" s="334" t="s">
        <v>89</v>
      </c>
      <c r="U38" s="347">
        <f t="shared" si="200"/>
        <v>0.5</v>
      </c>
      <c r="V38" s="334" t="s">
        <v>89</v>
      </c>
      <c r="W38" s="347">
        <f t="shared" si="201"/>
        <v>0.5</v>
      </c>
      <c r="X38" s="334" t="s">
        <v>89</v>
      </c>
      <c r="Y38" s="347">
        <f t="shared" si="202"/>
        <v>4</v>
      </c>
      <c r="Z38" s="486" t="s">
        <v>91</v>
      </c>
      <c r="AA38" s="347">
        <f t="shared" si="203"/>
        <v>0.5</v>
      </c>
      <c r="AB38" s="334" t="s">
        <v>89</v>
      </c>
      <c r="AC38" s="473">
        <f t="shared" si="204"/>
        <v>4</v>
      </c>
      <c r="AD38" s="321" t="s">
        <v>89</v>
      </c>
      <c r="AE38" s="323">
        <f t="shared" si="205"/>
        <v>4</v>
      </c>
      <c r="AF38" s="347">
        <v>1</v>
      </c>
      <c r="AG38" s="347">
        <f t="shared" si="206"/>
        <v>1</v>
      </c>
      <c r="AH38" s="334" t="s">
        <v>89</v>
      </c>
      <c r="AI38" s="473">
        <f t="shared" si="207"/>
        <v>4</v>
      </c>
      <c r="AJ38" s="321" t="s">
        <v>57</v>
      </c>
      <c r="AK38" s="321" t="s">
        <v>90</v>
      </c>
      <c r="AL38" s="474" t="s">
        <v>90</v>
      </c>
      <c r="AM38" s="347">
        <f t="shared" si="208"/>
        <v>4</v>
      </c>
      <c r="AN38" s="324">
        <v>97</v>
      </c>
      <c r="AO38" s="325">
        <f t="shared" si="209"/>
        <v>4</v>
      </c>
      <c r="AP38" s="326">
        <v>34.799999999999997</v>
      </c>
      <c r="AQ38" s="476">
        <f t="shared" si="210"/>
        <v>2</v>
      </c>
      <c r="AR38" s="324">
        <v>1.3999999999999999</v>
      </c>
      <c r="AS38" s="476">
        <f t="shared" si="253"/>
        <v>0</v>
      </c>
      <c r="AT38" s="324">
        <v>1.8999999999999999</v>
      </c>
      <c r="AU38" s="476">
        <f t="shared" si="212"/>
        <v>0</v>
      </c>
      <c r="AV38" s="324">
        <v>9.4000000000000004</v>
      </c>
      <c r="AW38" s="347">
        <f t="shared" si="213"/>
        <v>2</v>
      </c>
      <c r="AX38" s="334" t="s">
        <v>89</v>
      </c>
      <c r="AY38" s="347">
        <f t="shared" si="214"/>
        <v>4</v>
      </c>
      <c r="AZ38" s="334" t="s">
        <v>89</v>
      </c>
      <c r="BA38" s="347">
        <f t="shared" si="215"/>
        <v>0.5</v>
      </c>
      <c r="BB38" s="334" t="s">
        <v>89</v>
      </c>
      <c r="BC38" s="347">
        <f t="shared" si="216"/>
        <v>0.5</v>
      </c>
      <c r="BD38" s="334" t="s">
        <v>89</v>
      </c>
      <c r="BE38" s="347">
        <f t="shared" si="217"/>
        <v>0.5</v>
      </c>
      <c r="BF38" s="334" t="s">
        <v>89</v>
      </c>
      <c r="BG38" s="347">
        <f t="shared" si="218"/>
        <v>0.5</v>
      </c>
      <c r="BH38" s="334" t="s">
        <v>89</v>
      </c>
      <c r="BI38" s="347">
        <f t="shared" si="219"/>
        <v>0.5</v>
      </c>
      <c r="BJ38" s="334" t="s">
        <v>89</v>
      </c>
      <c r="BK38" s="347">
        <f t="shared" si="220"/>
        <v>4</v>
      </c>
      <c r="BL38" s="347" t="s">
        <v>90</v>
      </c>
      <c r="BM38" s="347">
        <f t="shared" si="221"/>
        <v>0</v>
      </c>
      <c r="BN38" s="347" t="s">
        <v>91</v>
      </c>
      <c r="BO38" s="347">
        <f t="shared" si="222"/>
        <v>1</v>
      </c>
      <c r="BP38" s="347" t="s">
        <v>90</v>
      </c>
      <c r="BQ38" s="477">
        <f t="shared" si="223"/>
        <v>0</v>
      </c>
      <c r="BR38" s="324">
        <v>2229</v>
      </c>
      <c r="BS38" s="328">
        <v>4414.8000000000002</v>
      </c>
      <c r="BT38" s="330">
        <f t="shared" si="224"/>
        <v>4</v>
      </c>
      <c r="BU38" s="331" t="s">
        <v>91</v>
      </c>
      <c r="BV38" s="331">
        <f t="shared" si="225"/>
        <v>6</v>
      </c>
      <c r="BW38" s="479" t="s">
        <v>90</v>
      </c>
      <c r="BX38" s="480">
        <f t="shared" si="226"/>
        <v>0</v>
      </c>
      <c r="BY38" s="481" t="s">
        <v>90</v>
      </c>
      <c r="BZ38" s="479">
        <f t="shared" si="227"/>
        <v>0</v>
      </c>
      <c r="CA38" s="481" t="s">
        <v>90</v>
      </c>
      <c r="CB38" s="331">
        <f t="shared" si="228"/>
        <v>0</v>
      </c>
      <c r="CC38" s="331" t="s">
        <v>91</v>
      </c>
      <c r="CD38" s="331">
        <f t="shared" si="229"/>
        <v>0.5</v>
      </c>
      <c r="CE38" s="331" t="s">
        <v>90</v>
      </c>
      <c r="CF38" s="331">
        <f t="shared" si="230"/>
        <v>0</v>
      </c>
      <c r="CG38" s="332">
        <v>277.13</v>
      </c>
      <c r="CH38" s="333">
        <v>329.32999999999998</v>
      </c>
      <c r="CI38" s="347">
        <f t="shared" si="231"/>
        <v>4</v>
      </c>
      <c r="CJ38" s="335">
        <v>232299</v>
      </c>
      <c r="CK38" s="335">
        <v>328578.15999999997</v>
      </c>
      <c r="CL38" s="337">
        <f t="shared" si="232"/>
        <v>4</v>
      </c>
      <c r="CM38" s="337" t="s">
        <v>90</v>
      </c>
      <c r="CN38" s="337">
        <f t="shared" si="233"/>
        <v>0</v>
      </c>
      <c r="CO38" s="337" t="s">
        <v>90</v>
      </c>
      <c r="CP38" s="337">
        <f t="shared" si="234"/>
        <v>0</v>
      </c>
      <c r="CQ38" s="337" t="s">
        <v>91</v>
      </c>
      <c r="CR38" s="337">
        <f t="shared" si="235"/>
        <v>0</v>
      </c>
      <c r="CS38" s="337" t="s">
        <v>90</v>
      </c>
      <c r="CT38" s="337">
        <f t="shared" si="236"/>
        <v>0</v>
      </c>
      <c r="CU38" s="338">
        <v>560.15999999999997</v>
      </c>
      <c r="CV38" s="338">
        <v>1344.3499999999999</v>
      </c>
      <c r="CW38" s="478">
        <f t="shared" si="237"/>
        <v>6</v>
      </c>
      <c r="CX38" s="357">
        <v>122.2</v>
      </c>
      <c r="CY38" s="329">
        <f t="shared" si="238"/>
        <v>6</v>
      </c>
      <c r="CZ38" s="335">
        <v>2739427</v>
      </c>
      <c r="DA38" s="342">
        <v>3388459</v>
      </c>
      <c r="DB38" s="323">
        <f t="shared" si="239"/>
        <v>6</v>
      </c>
      <c r="DC38" s="347">
        <v>4</v>
      </c>
      <c r="DD38" s="353" t="s">
        <v>89</v>
      </c>
      <c r="DE38" s="472">
        <f t="shared" si="240"/>
        <v>4</v>
      </c>
      <c r="DF38" s="485">
        <v>90.299999999999997</v>
      </c>
      <c r="DG38" s="375">
        <f t="shared" si="241"/>
        <v>4</v>
      </c>
      <c r="DH38" s="331" t="s">
        <v>57</v>
      </c>
      <c r="DI38" s="346">
        <f t="shared" si="242"/>
        <v>0</v>
      </c>
      <c r="DJ38" s="347" t="s">
        <v>89</v>
      </c>
      <c r="DK38" s="374">
        <f t="shared" si="243"/>
        <v>4</v>
      </c>
      <c r="DL38" s="347" t="s">
        <v>89</v>
      </c>
      <c r="DM38" s="374">
        <f t="shared" si="244"/>
        <v>4</v>
      </c>
      <c r="DN38" s="374" t="s">
        <v>90</v>
      </c>
      <c r="DO38" s="374">
        <f t="shared" si="245"/>
        <v>0</v>
      </c>
      <c r="DP38" s="374" t="s">
        <v>91</v>
      </c>
      <c r="DQ38" s="374">
        <f t="shared" si="246"/>
        <v>0</v>
      </c>
      <c r="DR38" s="360">
        <f>(50+48.7+51.3)/3</f>
        <v>50</v>
      </c>
      <c r="DS38" s="347">
        <f t="shared" si="247"/>
        <v>4</v>
      </c>
      <c r="DT38" s="360">
        <v>50</v>
      </c>
      <c r="DU38" s="347">
        <f t="shared" si="248"/>
        <v>4</v>
      </c>
      <c r="DV38" s="360">
        <v>33.299999999999997</v>
      </c>
      <c r="DW38" s="347">
        <f t="shared" si="249"/>
        <v>1</v>
      </c>
      <c r="DX38" s="360">
        <v>16.699999999999999</v>
      </c>
      <c r="DY38" s="473">
        <f t="shared" si="250"/>
        <v>1</v>
      </c>
      <c r="DZ38" s="483">
        <f t="shared" si="251"/>
        <v>122.5</v>
      </c>
      <c r="EA38" s="484">
        <f t="shared" si="254"/>
        <v>3</v>
      </c>
    </row>
    <row r="39" s="319" customFormat="1">
      <c r="A39" s="471" t="s">
        <v>125</v>
      </c>
      <c r="B39" s="321" t="s">
        <v>89</v>
      </c>
      <c r="C39" s="472">
        <f t="shared" si="191"/>
        <v>4</v>
      </c>
      <c r="D39" s="321" t="s">
        <v>89</v>
      </c>
      <c r="E39" s="323">
        <f t="shared" si="192"/>
        <v>4</v>
      </c>
      <c r="F39" s="347" t="s">
        <v>90</v>
      </c>
      <c r="G39" s="347">
        <f t="shared" si="193"/>
        <v>0</v>
      </c>
      <c r="H39" s="347" t="s">
        <v>91</v>
      </c>
      <c r="I39" s="347">
        <f t="shared" si="194"/>
        <v>1</v>
      </c>
      <c r="J39" s="347" t="s">
        <v>91</v>
      </c>
      <c r="K39" s="347">
        <f t="shared" si="195"/>
        <v>0.5</v>
      </c>
      <c r="L39" s="347" t="s">
        <v>90</v>
      </c>
      <c r="M39" s="473">
        <f t="shared" si="196"/>
        <v>0</v>
      </c>
      <c r="N39" s="321" t="s">
        <v>89</v>
      </c>
      <c r="O39" s="472">
        <f t="shared" si="197"/>
        <v>4</v>
      </c>
      <c r="P39" s="321" t="s">
        <v>89</v>
      </c>
      <c r="Q39" s="472">
        <f t="shared" si="198"/>
        <v>0.5</v>
      </c>
      <c r="R39" s="321" t="s">
        <v>89</v>
      </c>
      <c r="S39" s="472">
        <f t="shared" si="199"/>
        <v>0.5</v>
      </c>
      <c r="T39" s="321" t="s">
        <v>89</v>
      </c>
      <c r="U39" s="472">
        <f t="shared" si="200"/>
        <v>0.5</v>
      </c>
      <c r="V39" s="321" t="s">
        <v>89</v>
      </c>
      <c r="W39" s="472">
        <f t="shared" si="201"/>
        <v>0.5</v>
      </c>
      <c r="X39" s="321" t="s">
        <v>89</v>
      </c>
      <c r="Y39" s="472">
        <f t="shared" si="202"/>
        <v>4</v>
      </c>
      <c r="Z39" s="321" t="s">
        <v>91</v>
      </c>
      <c r="AA39" s="472">
        <f t="shared" si="203"/>
        <v>0.5</v>
      </c>
      <c r="AB39" s="321" t="s">
        <v>89</v>
      </c>
      <c r="AC39" s="472">
        <f t="shared" si="204"/>
        <v>4</v>
      </c>
      <c r="AD39" s="321" t="s">
        <v>89</v>
      </c>
      <c r="AE39" s="323">
        <f t="shared" si="205"/>
        <v>4</v>
      </c>
      <c r="AF39" s="347">
        <v>1</v>
      </c>
      <c r="AG39" s="473">
        <f t="shared" si="206"/>
        <v>1</v>
      </c>
      <c r="AH39" s="321" t="s">
        <v>89</v>
      </c>
      <c r="AI39" s="472">
        <f t="shared" si="207"/>
        <v>4</v>
      </c>
      <c r="AJ39" s="321" t="s">
        <v>57</v>
      </c>
      <c r="AK39" s="321" t="s">
        <v>90</v>
      </c>
      <c r="AL39" s="474" t="s">
        <v>90</v>
      </c>
      <c r="AM39" s="347">
        <f t="shared" si="208"/>
        <v>4</v>
      </c>
      <c r="AN39" s="324">
        <v>89</v>
      </c>
      <c r="AO39" s="325">
        <f t="shared" si="209"/>
        <v>4</v>
      </c>
      <c r="AP39" s="326">
        <v>61.600000000000001</v>
      </c>
      <c r="AQ39" s="476">
        <f t="shared" si="210"/>
        <v>4</v>
      </c>
      <c r="AR39" s="326">
        <v>0</v>
      </c>
      <c r="AS39" s="476">
        <v>-2</v>
      </c>
      <c r="AT39" s="324">
        <v>1.8999999999999999</v>
      </c>
      <c r="AU39" s="476">
        <f t="shared" si="212"/>
        <v>0</v>
      </c>
      <c r="AV39" s="324">
        <v>12.1</v>
      </c>
      <c r="AW39" s="473">
        <f t="shared" si="213"/>
        <v>0</v>
      </c>
      <c r="AX39" s="321" t="s">
        <v>89</v>
      </c>
      <c r="AY39" s="472">
        <f t="shared" si="214"/>
        <v>4</v>
      </c>
      <c r="AZ39" s="321" t="s">
        <v>89</v>
      </c>
      <c r="BA39" s="472">
        <f t="shared" si="215"/>
        <v>0.5</v>
      </c>
      <c r="BB39" s="321" t="s">
        <v>89</v>
      </c>
      <c r="BC39" s="472">
        <f t="shared" si="216"/>
        <v>0.5</v>
      </c>
      <c r="BD39" s="321" t="s">
        <v>89</v>
      </c>
      <c r="BE39" s="472">
        <f t="shared" si="217"/>
        <v>0.5</v>
      </c>
      <c r="BF39" s="321" t="s">
        <v>89</v>
      </c>
      <c r="BG39" s="472">
        <f t="shared" si="218"/>
        <v>0.5</v>
      </c>
      <c r="BH39" s="321" t="s">
        <v>89</v>
      </c>
      <c r="BI39" s="472">
        <f t="shared" si="219"/>
        <v>0.5</v>
      </c>
      <c r="BJ39" s="321" t="s">
        <v>89</v>
      </c>
      <c r="BK39" s="323">
        <f t="shared" si="220"/>
        <v>4</v>
      </c>
      <c r="BL39" s="347" t="s">
        <v>90</v>
      </c>
      <c r="BM39" s="347">
        <f t="shared" si="221"/>
        <v>0</v>
      </c>
      <c r="BN39" s="347" t="s">
        <v>91</v>
      </c>
      <c r="BO39" s="347">
        <f t="shared" si="222"/>
        <v>1</v>
      </c>
      <c r="BP39" s="347" t="s">
        <v>90</v>
      </c>
      <c r="BQ39" s="477">
        <f t="shared" si="223"/>
        <v>0</v>
      </c>
      <c r="BR39" s="324">
        <v>4583.5</v>
      </c>
      <c r="BS39" s="328">
        <v>6458.7999999999993</v>
      </c>
      <c r="BT39" s="330">
        <f t="shared" si="224"/>
        <v>4</v>
      </c>
      <c r="BU39" s="331" t="s">
        <v>90</v>
      </c>
      <c r="BV39" s="331">
        <f t="shared" si="225"/>
        <v>0</v>
      </c>
      <c r="BW39" s="479" t="s">
        <v>90</v>
      </c>
      <c r="BX39" s="480">
        <f t="shared" si="226"/>
        <v>0</v>
      </c>
      <c r="BY39" s="481" t="s">
        <v>91</v>
      </c>
      <c r="BZ39" s="479">
        <f t="shared" si="227"/>
        <v>2</v>
      </c>
      <c r="CA39" s="481" t="s">
        <v>90</v>
      </c>
      <c r="CB39" s="331">
        <f t="shared" si="228"/>
        <v>0</v>
      </c>
      <c r="CC39" s="331" t="s">
        <v>90</v>
      </c>
      <c r="CD39" s="331">
        <f t="shared" si="229"/>
        <v>0</v>
      </c>
      <c r="CE39" s="331" t="s">
        <v>91</v>
      </c>
      <c r="CF39" s="331">
        <f t="shared" si="230"/>
        <v>4</v>
      </c>
      <c r="CG39" s="332">
        <v>277.13</v>
      </c>
      <c r="CH39" s="333">
        <v>310.56</v>
      </c>
      <c r="CI39" s="347">
        <f t="shared" si="231"/>
        <v>4</v>
      </c>
      <c r="CJ39" s="335">
        <v>277180</v>
      </c>
      <c r="CK39" s="335">
        <v>392731.71999999997</v>
      </c>
      <c r="CL39" s="337">
        <f t="shared" si="232"/>
        <v>4</v>
      </c>
      <c r="CM39" s="337" t="s">
        <v>90</v>
      </c>
      <c r="CN39" s="337">
        <f t="shared" si="233"/>
        <v>0</v>
      </c>
      <c r="CO39" s="337" t="s">
        <v>90</v>
      </c>
      <c r="CP39" s="337">
        <f t="shared" si="234"/>
        <v>0</v>
      </c>
      <c r="CQ39" s="337" t="s">
        <v>91</v>
      </c>
      <c r="CR39" s="337">
        <f t="shared" si="235"/>
        <v>0</v>
      </c>
      <c r="CS39" s="337" t="s">
        <v>90</v>
      </c>
      <c r="CT39" s="337">
        <f t="shared" si="236"/>
        <v>0</v>
      </c>
      <c r="CU39" s="338">
        <v>1052.155</v>
      </c>
      <c r="CV39" s="338">
        <v>111.81</v>
      </c>
      <c r="CW39" s="478">
        <f t="shared" si="237"/>
        <v>-2</v>
      </c>
      <c r="CX39" s="357">
        <v>122.90000000000001</v>
      </c>
      <c r="CY39" s="329">
        <f t="shared" si="238"/>
        <v>6</v>
      </c>
      <c r="CZ39" s="335">
        <v>7315658</v>
      </c>
      <c r="DA39" s="342">
        <v>12007087</v>
      </c>
      <c r="DB39" s="323">
        <f t="shared" si="239"/>
        <v>6</v>
      </c>
      <c r="DC39" s="347">
        <v>0</v>
      </c>
      <c r="DD39" s="353" t="s">
        <v>89</v>
      </c>
      <c r="DE39" s="472">
        <f t="shared" si="240"/>
        <v>4</v>
      </c>
      <c r="DF39" s="485">
        <v>72.700000000000003</v>
      </c>
      <c r="DG39" s="375">
        <f t="shared" si="241"/>
        <v>4</v>
      </c>
      <c r="DH39" s="331" t="s">
        <v>57</v>
      </c>
      <c r="DI39" s="346">
        <f t="shared" si="242"/>
        <v>0</v>
      </c>
      <c r="DJ39" s="347" t="s">
        <v>89</v>
      </c>
      <c r="DK39" s="374">
        <f t="shared" si="243"/>
        <v>4</v>
      </c>
      <c r="DL39" s="347" t="s">
        <v>89</v>
      </c>
      <c r="DM39" s="374">
        <f t="shared" si="244"/>
        <v>4</v>
      </c>
      <c r="DN39" s="374" t="s">
        <v>90</v>
      </c>
      <c r="DO39" s="374">
        <f t="shared" si="245"/>
        <v>0</v>
      </c>
      <c r="DP39" s="374" t="s">
        <v>91</v>
      </c>
      <c r="DQ39" s="374">
        <f t="shared" si="246"/>
        <v>0</v>
      </c>
      <c r="DR39" s="360">
        <f>(50.9+52.3+47.7)/3</f>
        <v>50.29999999999999</v>
      </c>
      <c r="DS39" s="347">
        <f t="shared" si="247"/>
        <v>4</v>
      </c>
      <c r="DT39" s="360">
        <v>100</v>
      </c>
      <c r="DU39" s="347">
        <f t="shared" si="248"/>
        <v>4</v>
      </c>
      <c r="DV39" s="360">
        <v>50</v>
      </c>
      <c r="DW39" s="347">
        <f t="shared" si="249"/>
        <v>2</v>
      </c>
      <c r="DX39" s="360">
        <v>100</v>
      </c>
      <c r="DY39" s="473">
        <f t="shared" si="250"/>
        <v>4</v>
      </c>
      <c r="DZ39" s="483">
        <f t="shared" si="251"/>
        <v>112.5</v>
      </c>
      <c r="EA39" s="484">
        <f t="shared" si="254"/>
        <v>4</v>
      </c>
    </row>
    <row r="40" s="319" customFormat="1">
      <c r="A40" s="471" t="s">
        <v>126</v>
      </c>
      <c r="B40" s="321" t="s">
        <v>89</v>
      </c>
      <c r="C40" s="472">
        <f t="shared" si="191"/>
        <v>4</v>
      </c>
      <c r="D40" s="321" t="s">
        <v>89</v>
      </c>
      <c r="E40" s="323">
        <f t="shared" si="192"/>
        <v>4</v>
      </c>
      <c r="F40" s="347" t="s">
        <v>90</v>
      </c>
      <c r="G40" s="347">
        <f t="shared" si="193"/>
        <v>0</v>
      </c>
      <c r="H40" s="347" t="s">
        <v>91</v>
      </c>
      <c r="I40" s="347">
        <f t="shared" si="194"/>
        <v>1</v>
      </c>
      <c r="J40" s="347" t="s">
        <v>91</v>
      </c>
      <c r="K40" s="347">
        <f t="shared" si="195"/>
        <v>0.5</v>
      </c>
      <c r="L40" s="347" t="s">
        <v>90</v>
      </c>
      <c r="M40" s="473">
        <f t="shared" si="196"/>
        <v>0</v>
      </c>
      <c r="N40" s="321" t="s">
        <v>89</v>
      </c>
      <c r="O40" s="472">
        <f t="shared" si="197"/>
        <v>4</v>
      </c>
      <c r="P40" s="321" t="s">
        <v>89</v>
      </c>
      <c r="Q40" s="472">
        <f t="shared" si="198"/>
        <v>0.5</v>
      </c>
      <c r="R40" s="321" t="s">
        <v>89</v>
      </c>
      <c r="S40" s="472">
        <f t="shared" si="199"/>
        <v>0.5</v>
      </c>
      <c r="T40" s="321" t="s">
        <v>89</v>
      </c>
      <c r="U40" s="472">
        <f t="shared" si="200"/>
        <v>0.5</v>
      </c>
      <c r="V40" s="321" t="s">
        <v>89</v>
      </c>
      <c r="W40" s="472">
        <f t="shared" si="201"/>
        <v>0.5</v>
      </c>
      <c r="X40" s="321" t="s">
        <v>89</v>
      </c>
      <c r="Y40" s="323">
        <f t="shared" si="202"/>
        <v>4</v>
      </c>
      <c r="Z40" s="487" t="s">
        <v>91</v>
      </c>
      <c r="AA40" s="473">
        <f t="shared" si="203"/>
        <v>0.5</v>
      </c>
      <c r="AB40" s="321" t="s">
        <v>89</v>
      </c>
      <c r="AC40" s="472">
        <f t="shared" si="204"/>
        <v>4</v>
      </c>
      <c r="AD40" s="321" t="s">
        <v>89</v>
      </c>
      <c r="AE40" s="323">
        <f t="shared" si="205"/>
        <v>4</v>
      </c>
      <c r="AF40" s="347">
        <v>0</v>
      </c>
      <c r="AG40" s="473">
        <f t="shared" si="206"/>
        <v>0</v>
      </c>
      <c r="AH40" s="321" t="s">
        <v>89</v>
      </c>
      <c r="AI40" s="472">
        <f t="shared" si="207"/>
        <v>4</v>
      </c>
      <c r="AJ40" s="321" t="s">
        <v>57</v>
      </c>
      <c r="AK40" s="321" t="s">
        <v>90</v>
      </c>
      <c r="AL40" s="474" t="s">
        <v>90</v>
      </c>
      <c r="AM40" s="347">
        <f t="shared" si="208"/>
        <v>4</v>
      </c>
      <c r="AN40" s="324">
        <v>100</v>
      </c>
      <c r="AO40" s="325">
        <f t="shared" si="209"/>
        <v>4</v>
      </c>
      <c r="AP40" s="326">
        <v>66.5</v>
      </c>
      <c r="AQ40" s="476">
        <f t="shared" si="210"/>
        <v>4</v>
      </c>
      <c r="AR40" s="326">
        <v>0</v>
      </c>
      <c r="AS40" s="476">
        <v>-2</v>
      </c>
      <c r="AT40" s="324">
        <v>2.6000000000000001</v>
      </c>
      <c r="AU40" s="488">
        <f t="shared" si="212"/>
        <v>0</v>
      </c>
      <c r="AV40" s="328">
        <v>8.4000000000000004</v>
      </c>
      <c r="AW40" s="472">
        <f t="shared" si="213"/>
        <v>2</v>
      </c>
      <c r="AX40" s="321" t="s">
        <v>89</v>
      </c>
      <c r="AY40" s="472">
        <f t="shared" si="214"/>
        <v>4</v>
      </c>
      <c r="AZ40" s="321" t="s">
        <v>89</v>
      </c>
      <c r="BA40" s="472">
        <f t="shared" si="215"/>
        <v>0.5</v>
      </c>
      <c r="BB40" s="321" t="s">
        <v>89</v>
      </c>
      <c r="BC40" s="472">
        <f t="shared" si="216"/>
        <v>0.5</v>
      </c>
      <c r="BD40" s="321" t="s">
        <v>89</v>
      </c>
      <c r="BE40" s="472">
        <f t="shared" si="217"/>
        <v>0.5</v>
      </c>
      <c r="BF40" s="321" t="s">
        <v>89</v>
      </c>
      <c r="BG40" s="472">
        <f t="shared" si="218"/>
        <v>0.5</v>
      </c>
      <c r="BH40" s="321" t="s">
        <v>89</v>
      </c>
      <c r="BI40" s="472">
        <f t="shared" si="219"/>
        <v>0.5</v>
      </c>
      <c r="BJ40" s="321" t="s">
        <v>89</v>
      </c>
      <c r="BK40" s="323">
        <f t="shared" si="220"/>
        <v>4</v>
      </c>
      <c r="BL40" s="347" t="s">
        <v>90</v>
      </c>
      <c r="BM40" s="347">
        <f t="shared" si="221"/>
        <v>0</v>
      </c>
      <c r="BN40" s="347" t="s">
        <v>91</v>
      </c>
      <c r="BO40" s="347">
        <f t="shared" si="222"/>
        <v>1</v>
      </c>
      <c r="BP40" s="347" t="s">
        <v>90</v>
      </c>
      <c r="BQ40" s="477">
        <f t="shared" si="223"/>
        <v>0</v>
      </c>
      <c r="BR40" s="324">
        <v>2948.6700000000001</v>
      </c>
      <c r="BS40" s="328">
        <v>5440.7739679999995</v>
      </c>
      <c r="BT40" s="330">
        <f t="shared" si="224"/>
        <v>4</v>
      </c>
      <c r="BU40" s="331" t="s">
        <v>90</v>
      </c>
      <c r="BV40" s="331">
        <f t="shared" si="225"/>
        <v>0</v>
      </c>
      <c r="BW40" s="331" t="s">
        <v>90</v>
      </c>
      <c r="BX40" s="489">
        <f t="shared" si="226"/>
        <v>0</v>
      </c>
      <c r="BY40" s="489" t="s">
        <v>91</v>
      </c>
      <c r="BZ40" s="331">
        <f t="shared" si="227"/>
        <v>2</v>
      </c>
      <c r="CA40" s="489" t="s">
        <v>90</v>
      </c>
      <c r="CB40" s="331">
        <f t="shared" si="228"/>
        <v>0</v>
      </c>
      <c r="CC40" s="331" t="s">
        <v>90</v>
      </c>
      <c r="CD40" s="331">
        <f t="shared" si="229"/>
        <v>0</v>
      </c>
      <c r="CE40" s="331" t="s">
        <v>90</v>
      </c>
      <c r="CF40" s="331">
        <f t="shared" si="230"/>
        <v>0</v>
      </c>
      <c r="CG40" s="332">
        <v>277.13</v>
      </c>
      <c r="CH40" s="333">
        <v>662.84000000000003</v>
      </c>
      <c r="CI40" s="347">
        <f t="shared" si="231"/>
        <v>4</v>
      </c>
      <c r="CJ40" s="335">
        <v>734955</v>
      </c>
      <c r="CK40" s="335">
        <v>543873.93999999994</v>
      </c>
      <c r="CL40" s="337">
        <f t="shared" si="232"/>
        <v>-2</v>
      </c>
      <c r="CM40" s="337" t="s">
        <v>90</v>
      </c>
      <c r="CN40" s="337">
        <f t="shared" si="233"/>
        <v>0</v>
      </c>
      <c r="CO40" s="337" t="s">
        <v>91</v>
      </c>
      <c r="CP40" s="337">
        <f t="shared" si="234"/>
        <v>4</v>
      </c>
      <c r="CQ40" s="337" t="s">
        <v>90</v>
      </c>
      <c r="CR40" s="337">
        <f t="shared" si="235"/>
        <v>0</v>
      </c>
      <c r="CS40" s="337" t="s">
        <v>90</v>
      </c>
      <c r="CT40" s="337">
        <f t="shared" si="236"/>
        <v>0</v>
      </c>
      <c r="CU40" s="338">
        <v>4465.8860000000004</v>
      </c>
      <c r="CV40" s="338">
        <v>1316.0799999999999</v>
      </c>
      <c r="CW40" s="478">
        <f t="shared" si="237"/>
        <v>-2</v>
      </c>
      <c r="CX40" s="357">
        <v>123.09999999999999</v>
      </c>
      <c r="CY40" s="329">
        <f t="shared" si="238"/>
        <v>6</v>
      </c>
      <c r="CZ40" s="335">
        <v>2457396</v>
      </c>
      <c r="DA40" s="342">
        <v>5014897</v>
      </c>
      <c r="DB40" s="323">
        <f t="shared" si="239"/>
        <v>6</v>
      </c>
      <c r="DC40" s="347">
        <v>-2</v>
      </c>
      <c r="DD40" s="353" t="s">
        <v>89</v>
      </c>
      <c r="DE40" s="472">
        <f t="shared" si="240"/>
        <v>4</v>
      </c>
      <c r="DF40" s="485">
        <v>97.799999999999997</v>
      </c>
      <c r="DG40" s="375">
        <f t="shared" si="241"/>
        <v>4</v>
      </c>
      <c r="DH40" s="331" t="s">
        <v>89</v>
      </c>
      <c r="DI40" s="346">
        <f t="shared" si="242"/>
        <v>1</v>
      </c>
      <c r="DJ40" s="347" t="s">
        <v>89</v>
      </c>
      <c r="DK40" s="374">
        <f t="shared" si="243"/>
        <v>4</v>
      </c>
      <c r="DL40" s="347" t="s">
        <v>89</v>
      </c>
      <c r="DM40" s="374">
        <f t="shared" si="244"/>
        <v>4</v>
      </c>
      <c r="DN40" s="374" t="s">
        <v>90</v>
      </c>
      <c r="DO40" s="374">
        <f t="shared" si="245"/>
        <v>0</v>
      </c>
      <c r="DP40" s="374" t="s">
        <v>91</v>
      </c>
      <c r="DQ40" s="374">
        <f t="shared" si="246"/>
        <v>0</v>
      </c>
      <c r="DR40" s="360">
        <f>(41.3+44.7+40.4)/3</f>
        <v>42.133333333333333</v>
      </c>
      <c r="DS40" s="490">
        <f t="shared" si="247"/>
        <v>2</v>
      </c>
      <c r="DT40" s="491">
        <v>100</v>
      </c>
      <c r="DU40" s="343">
        <f t="shared" si="248"/>
        <v>4</v>
      </c>
      <c r="DV40" s="492">
        <v>0</v>
      </c>
      <c r="DW40" s="347">
        <f t="shared" si="249"/>
        <v>-2</v>
      </c>
      <c r="DX40" s="360">
        <v>50</v>
      </c>
      <c r="DY40" s="490">
        <f t="shared" si="250"/>
        <v>4</v>
      </c>
      <c r="DZ40" s="483">
        <f t="shared" si="251"/>
        <v>100.5</v>
      </c>
      <c r="EA40" s="484">
        <f t="shared" si="254"/>
        <v>5</v>
      </c>
    </row>
  </sheetData>
  <sortState ref="A5:EA34">
    <sortCondition ref="EA5:EA34"/>
  </sortState>
  <mergeCells count="40">
    <mergeCell ref="A2:A4"/>
    <mergeCell ref="B2:AE2"/>
    <mergeCell ref="AF2:AW2"/>
    <mergeCell ref="AX2:CF2"/>
    <mergeCell ref="CG2:DQ2"/>
    <mergeCell ref="B3:C3"/>
    <mergeCell ref="D3:M3"/>
    <mergeCell ref="N3:W3"/>
    <mergeCell ref="X3:AA3"/>
    <mergeCell ref="AB3:AC3"/>
    <mergeCell ref="AD3:AE3"/>
    <mergeCell ref="AF3:AG3"/>
    <mergeCell ref="AH3:AI3"/>
    <mergeCell ref="AJ3:AM3"/>
    <mergeCell ref="AN3:AO3"/>
    <mergeCell ref="AP3:AQ3"/>
    <mergeCell ref="AR3:AS3"/>
    <mergeCell ref="AT3:AU3"/>
    <mergeCell ref="AV3:AW3"/>
    <mergeCell ref="AX3:BI3"/>
    <mergeCell ref="BJ3:BQ3"/>
    <mergeCell ref="BR3:BT3"/>
    <mergeCell ref="BU3:CB3"/>
    <mergeCell ref="CC3:CF3"/>
    <mergeCell ref="CG3:CI3"/>
    <mergeCell ref="CJ3:CL3"/>
    <mergeCell ref="CM3:CT3"/>
    <mergeCell ref="CU3:CW3"/>
    <mergeCell ref="CX3:CY3"/>
    <mergeCell ref="CZ3:DB3"/>
    <mergeCell ref="DD3:DE3"/>
    <mergeCell ref="DF3:DG3"/>
    <mergeCell ref="DH3:DI3"/>
    <mergeCell ref="DJ3:DK3"/>
    <mergeCell ref="DL3:DM3"/>
    <mergeCell ref="DN3:DQ3"/>
    <mergeCell ref="DR3:DS3"/>
    <mergeCell ref="DT3:DU3"/>
    <mergeCell ref="DV3:DW3"/>
    <mergeCell ref="DX3:DY3"/>
  </mergeCells>
  <hyperlinks>
    <hyperlink location="'2492-2501'!A499" ref="A37"/>
    <hyperlink location="'2492-2501'!A499" ref="A40"/>
  </hyperlinks>
  <printOptions headings="0" gridLines="0"/>
  <pageMargins left="0.70078740157480324" right="0.70078740157480324" top="0.75196850393700776" bottom="0.75196850393700776" header="0.29999999999999999" footer="0.29999999999999999"/>
  <pageSetup paperSize="8" scale="1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Волокитин Павел Николаевич</dc:creator>
  <cp:revision>53</cp:revision>
  <dcterms:created xsi:type="dcterms:W3CDTF">2015-06-05T18:19:34Z</dcterms:created>
  <dcterms:modified xsi:type="dcterms:W3CDTF">2025-08-12T07:52:53Z</dcterms:modified>
</cp:coreProperties>
</file>